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6 рік\"/>
    </mc:Choice>
  </mc:AlternateContent>
  <bookViews>
    <workbookView xWindow="0" yWindow="0" windowWidth="28800" windowHeight="1191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'2025'!$A$1:$Q$110</definedName>
  </definedNames>
  <calcPr calcId="162913"/>
</workbook>
</file>

<file path=xl/calcChain.xml><?xml version="1.0" encoding="utf-8"?>
<calcChain xmlns="http://schemas.openxmlformats.org/spreadsheetml/2006/main">
  <c r="H111" i="23" l="1"/>
  <c r="K77" i="23"/>
  <c r="O90" i="23" l="1"/>
  <c r="H71" i="23"/>
  <c r="G71" i="23"/>
  <c r="H68" i="23"/>
  <c r="G68" i="23"/>
  <c r="K59" i="23"/>
  <c r="F52" i="23"/>
  <c r="N52" i="23" s="1"/>
  <c r="F53" i="23"/>
  <c r="I53" i="23" s="1"/>
  <c r="K53" i="23"/>
  <c r="K52" i="23"/>
  <c r="I52" i="23"/>
  <c r="O92" i="23"/>
  <c r="O91" i="23" s="1"/>
  <c r="O81" i="23"/>
  <c r="O76" i="23"/>
  <c r="O86" i="23" s="1"/>
  <c r="O95" i="23" s="1"/>
  <c r="O71" i="23"/>
  <c r="O60" i="23"/>
  <c r="O72" i="23" s="1"/>
  <c r="O37" i="23"/>
  <c r="O22" i="23"/>
  <c r="O18" i="23"/>
  <c r="O15" i="23"/>
  <c r="O9" i="23"/>
  <c r="E71" i="23"/>
  <c r="E81" i="23"/>
  <c r="E76" i="23"/>
  <c r="E86" i="23" s="1"/>
  <c r="A54" i="23"/>
  <c r="A55" i="23" s="1"/>
  <c r="A56" i="23" s="1"/>
  <c r="A57" i="23" s="1"/>
  <c r="A58" i="23" s="1"/>
  <c r="A59" i="23" s="1"/>
  <c r="A60" i="23" s="1"/>
  <c r="A53" i="23"/>
  <c r="E68" i="23"/>
  <c r="E60" i="23"/>
  <c r="E72" i="23" s="1"/>
  <c r="E70" i="23" s="1"/>
  <c r="E66" i="23" s="1"/>
  <c r="E37" i="23"/>
  <c r="E22" i="23"/>
  <c r="E18" i="23"/>
  <c r="E15" i="23"/>
  <c r="E14" i="23"/>
  <c r="E9" i="23"/>
  <c r="D68" i="23"/>
  <c r="J52" i="23" l="1"/>
  <c r="M52" i="23"/>
  <c r="M53" i="23"/>
  <c r="N53" i="23"/>
  <c r="O70" i="23"/>
  <c r="O66" i="23" s="1"/>
  <c r="E51" i="23"/>
  <c r="P52" i="23"/>
  <c r="P53" i="23"/>
  <c r="E74" i="23"/>
  <c r="O14" i="23"/>
  <c r="O51" i="23" s="1"/>
  <c r="O74" i="23" s="1"/>
  <c r="J53" i="23"/>
  <c r="L53" i="23"/>
  <c r="L52" i="23"/>
  <c r="P42" i="23" l="1"/>
  <c r="N42" i="23"/>
  <c r="K120" i="23"/>
  <c r="K122" i="23"/>
  <c r="K7" i="23"/>
  <c r="K50" i="23"/>
  <c r="K49" i="23"/>
  <c r="K48" i="23"/>
  <c r="K47" i="23"/>
  <c r="K46" i="23"/>
  <c r="K45" i="23"/>
  <c r="K44" i="23"/>
  <c r="K43" i="23"/>
  <c r="K42" i="23"/>
  <c r="L42" i="23" s="1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51" i="23" l="1"/>
  <c r="M42" i="23"/>
  <c r="K121" i="23"/>
  <c r="F56" i="23"/>
  <c r="P56" i="23" s="1"/>
  <c r="K64" i="23"/>
  <c r="F64" i="23"/>
  <c r="N64" i="23" s="1"/>
  <c r="K57" i="23"/>
  <c r="F57" i="23"/>
  <c r="Q57" i="23" s="1"/>
  <c r="F55" i="23"/>
  <c r="Q55" i="23" s="1"/>
  <c r="I64" i="23" l="1"/>
  <c r="P64" i="23"/>
  <c r="P55" i="23"/>
  <c r="M57" i="23"/>
  <c r="L64" i="23"/>
  <c r="M64" i="23"/>
  <c r="I57" i="23"/>
  <c r="L57" i="23"/>
  <c r="J57" i="23"/>
  <c r="P57" i="23"/>
  <c r="N57" i="23"/>
  <c r="I55" i="23"/>
  <c r="E104" i="23"/>
  <c r="E103" i="23"/>
  <c r="E92" i="23"/>
  <c r="E106" i="23" s="1"/>
  <c r="E91" i="23" l="1"/>
  <c r="E97" i="23"/>
  <c r="E90" i="23" l="1"/>
  <c r="E95" i="23" s="1"/>
  <c r="E107" i="23"/>
  <c r="E105" i="23" s="1"/>
  <c r="E102" i="23" l="1"/>
  <c r="E108" i="23" s="1"/>
  <c r="E111" i="23" s="1"/>
  <c r="F21" i="23"/>
  <c r="P21" i="23" s="1"/>
  <c r="O104" i="23"/>
  <c r="K104" i="23"/>
  <c r="H104" i="23"/>
  <c r="G104" i="23"/>
  <c r="F104" i="23" s="1"/>
  <c r="D104" i="23"/>
  <c r="O103" i="23"/>
  <c r="H103" i="23"/>
  <c r="G103" i="23"/>
  <c r="D103" i="23"/>
  <c r="F99" i="23"/>
  <c r="F93" i="23"/>
  <c r="H92" i="23"/>
  <c r="H91" i="23" s="1"/>
  <c r="H90" i="23" s="1"/>
  <c r="G92" i="23"/>
  <c r="G91" i="23" s="1"/>
  <c r="G90" i="23" s="1"/>
  <c r="D92" i="23"/>
  <c r="D91" i="23" s="1"/>
  <c r="D90" i="23" s="1"/>
  <c r="K88" i="23"/>
  <c r="F88" i="23"/>
  <c r="K87" i="23"/>
  <c r="K92" i="23" s="1"/>
  <c r="K91" i="23" s="1"/>
  <c r="F87" i="23"/>
  <c r="K85" i="23"/>
  <c r="F85" i="23"/>
  <c r="K84" i="23"/>
  <c r="F84" i="23"/>
  <c r="K83" i="23"/>
  <c r="F83" i="23"/>
  <c r="K82" i="23"/>
  <c r="F82" i="23"/>
  <c r="I82" i="23" s="1"/>
  <c r="H81" i="23"/>
  <c r="G81" i="23"/>
  <c r="F81" i="23" s="1"/>
  <c r="D81" i="23"/>
  <c r="K80" i="23"/>
  <c r="F80" i="23"/>
  <c r="A80" i="23"/>
  <c r="A81" i="23" s="1"/>
  <c r="K79" i="23"/>
  <c r="F79" i="23"/>
  <c r="I79" i="23" s="1"/>
  <c r="F78" i="23"/>
  <c r="K76" i="23"/>
  <c r="F77" i="23"/>
  <c r="N77" i="23" s="1"/>
  <c r="H76" i="23"/>
  <c r="H86" i="23" s="1"/>
  <c r="G76" i="23"/>
  <c r="G86" i="23" s="1"/>
  <c r="D76" i="23"/>
  <c r="D86" i="23" s="1"/>
  <c r="D71" i="23"/>
  <c r="F69" i="23"/>
  <c r="L69" i="23" s="1"/>
  <c r="F68" i="23"/>
  <c r="K65" i="23"/>
  <c r="F65" i="23"/>
  <c r="K63" i="23"/>
  <c r="F63" i="23"/>
  <c r="K62" i="23"/>
  <c r="F62" i="23"/>
  <c r="N62" i="23" s="1"/>
  <c r="K61" i="23"/>
  <c r="F61" i="23"/>
  <c r="P61" i="23" s="1"/>
  <c r="H60" i="23"/>
  <c r="G60" i="23"/>
  <c r="D60" i="23"/>
  <c r="F59" i="23"/>
  <c r="K58" i="23"/>
  <c r="F58" i="23"/>
  <c r="N58" i="23" s="1"/>
  <c r="K54" i="23"/>
  <c r="K71" i="23" s="1"/>
  <c r="F54" i="23"/>
  <c r="V51" i="23"/>
  <c r="F50" i="23"/>
  <c r="F49" i="23"/>
  <c r="Q49" i="23" s="1"/>
  <c r="F48" i="23"/>
  <c r="F47" i="23"/>
  <c r="J47" i="23" s="1"/>
  <c r="F46" i="23"/>
  <c r="P46" i="23" s="1"/>
  <c r="F45" i="23"/>
  <c r="J45" i="23" s="1"/>
  <c r="F44" i="23"/>
  <c r="N44" i="23" s="1"/>
  <c r="A44" i="23"/>
  <c r="A45" i="23" s="1"/>
  <c r="A46" i="23" s="1"/>
  <c r="A47" i="23" s="1"/>
  <c r="A48" i="23" s="1"/>
  <c r="A49" i="23" s="1"/>
  <c r="A50" i="23" s="1"/>
  <c r="F43" i="23"/>
  <c r="P43" i="23" s="1"/>
  <c r="F41" i="23"/>
  <c r="F40" i="23"/>
  <c r="P40" i="23" s="1"/>
  <c r="F39" i="23"/>
  <c r="J39" i="23" s="1"/>
  <c r="F38" i="23"/>
  <c r="F37" i="23"/>
  <c r="D37" i="23"/>
  <c r="F36" i="23"/>
  <c r="N36" i="23" s="1"/>
  <c r="F35" i="23"/>
  <c r="F34" i="23"/>
  <c r="F33" i="23"/>
  <c r="F32" i="23"/>
  <c r="N32" i="23" s="1"/>
  <c r="F31" i="23"/>
  <c r="F30" i="23"/>
  <c r="P30" i="23" s="1"/>
  <c r="F29" i="23"/>
  <c r="I29" i="23" s="1"/>
  <c r="A29" i="23"/>
  <c r="A30" i="23" s="1"/>
  <c r="A31" i="23" s="1"/>
  <c r="A32" i="23" s="1"/>
  <c r="A33" i="23" s="1"/>
  <c r="A34" i="23" s="1"/>
  <c r="A35" i="23" s="1"/>
  <c r="A36" i="23" s="1"/>
  <c r="A37" i="23" s="1"/>
  <c r="F28" i="23"/>
  <c r="F27" i="23"/>
  <c r="N27" i="23" s="1"/>
  <c r="F26" i="23"/>
  <c r="N26" i="23" s="1"/>
  <c r="F25" i="23"/>
  <c r="F24" i="23"/>
  <c r="P24" i="23" s="1"/>
  <c r="F23" i="23"/>
  <c r="P23" i="23" s="1"/>
  <c r="R22" i="23"/>
  <c r="H22" i="23"/>
  <c r="G22" i="23"/>
  <c r="F22" i="23" s="1"/>
  <c r="F20" i="23"/>
  <c r="F19" i="23"/>
  <c r="P19" i="23" s="1"/>
  <c r="H18" i="23"/>
  <c r="G18" i="23"/>
  <c r="F18" i="23" s="1"/>
  <c r="D18" i="23"/>
  <c r="F17" i="23"/>
  <c r="N17" i="23" s="1"/>
  <c r="R16" i="23"/>
  <c r="F16" i="23"/>
  <c r="J16" i="23" s="1"/>
  <c r="H15" i="23"/>
  <c r="G15" i="23"/>
  <c r="D15" i="23"/>
  <c r="F13" i="23"/>
  <c r="Q13" i="23" s="1"/>
  <c r="F12" i="23"/>
  <c r="F11" i="23"/>
  <c r="F10" i="23"/>
  <c r="I10" i="23" s="1"/>
  <c r="H9" i="23"/>
  <c r="G9" i="23"/>
  <c r="F9" i="23" s="1"/>
  <c r="Q9" i="23" s="1"/>
  <c r="D9" i="23"/>
  <c r="T8" i="23"/>
  <c r="U8" i="23" s="1"/>
  <c r="F8" i="23"/>
  <c r="Q8" i="23" s="1"/>
  <c r="A8" i="23"/>
  <c r="U7" i="23"/>
  <c r="T7" i="23"/>
  <c r="F7" i="23"/>
  <c r="N7" i="23" s="1"/>
  <c r="C5" i="23"/>
  <c r="D5" i="23" s="1"/>
  <c r="E5" i="23" s="1"/>
  <c r="F5" i="23" s="1"/>
  <c r="G5" i="23" s="1"/>
  <c r="I5" i="23" s="1"/>
  <c r="J5" i="23" s="1"/>
  <c r="K5" i="23" s="1"/>
  <c r="L5" i="23" s="1"/>
  <c r="M5" i="23" s="1"/>
  <c r="O5" i="23" s="1"/>
  <c r="P5" i="23" s="1"/>
  <c r="Q5" i="23" s="1"/>
  <c r="Q12" i="23" l="1"/>
  <c r="J12" i="23"/>
  <c r="P31" i="23"/>
  <c r="J31" i="23"/>
  <c r="N48" i="23"/>
  <c r="J48" i="23"/>
  <c r="N50" i="23"/>
  <c r="J50" i="23"/>
  <c r="N11" i="23"/>
  <c r="J11" i="23"/>
  <c r="F103" i="23"/>
  <c r="N54" i="23"/>
  <c r="Q54" i="23"/>
  <c r="H72" i="23"/>
  <c r="H107" i="23" s="1"/>
  <c r="N59" i="23"/>
  <c r="J59" i="23"/>
  <c r="L59" i="23"/>
  <c r="M59" i="23"/>
  <c r="N68" i="23"/>
  <c r="J68" i="23"/>
  <c r="I68" i="23"/>
  <c r="D72" i="23"/>
  <c r="D70" i="23" s="1"/>
  <c r="D66" i="23" s="1"/>
  <c r="I83" i="23"/>
  <c r="J83" i="23"/>
  <c r="G72" i="23"/>
  <c r="F72" i="23" s="1"/>
  <c r="N72" i="23" s="1"/>
  <c r="K90" i="23"/>
  <c r="K99" i="23"/>
  <c r="M99" i="23" s="1"/>
  <c r="N35" i="23"/>
  <c r="Q35" i="23"/>
  <c r="J99" i="23"/>
  <c r="N99" i="23"/>
  <c r="I21" i="23"/>
  <c r="L21" i="23"/>
  <c r="P49" i="23"/>
  <c r="Q33" i="23"/>
  <c r="J33" i="23"/>
  <c r="D95" i="23"/>
  <c r="L34" i="23"/>
  <c r="L45" i="23"/>
  <c r="L46" i="23"/>
  <c r="N46" i="23"/>
  <c r="M48" i="23"/>
  <c r="P50" i="23"/>
  <c r="D106" i="23"/>
  <c r="P48" i="23"/>
  <c r="I18" i="23"/>
  <c r="M38" i="23"/>
  <c r="L41" i="23"/>
  <c r="M84" i="23"/>
  <c r="M12" i="23"/>
  <c r="M23" i="23"/>
  <c r="M25" i="23"/>
  <c r="L50" i="23"/>
  <c r="F60" i="23"/>
  <c r="P60" i="23" s="1"/>
  <c r="L47" i="23"/>
  <c r="F76" i="23"/>
  <c r="J76" i="23" s="1"/>
  <c r="N80" i="23"/>
  <c r="K106" i="23"/>
  <c r="H14" i="23"/>
  <c r="H51" i="23" s="1"/>
  <c r="P32" i="23"/>
  <c r="L33" i="23"/>
  <c r="P29" i="23"/>
  <c r="I32" i="23"/>
  <c r="N33" i="23"/>
  <c r="P39" i="23"/>
  <c r="J54" i="23"/>
  <c r="L62" i="23"/>
  <c r="N29" i="23"/>
  <c r="N39" i="23"/>
  <c r="M7" i="23"/>
  <c r="J32" i="23"/>
  <c r="M62" i="23"/>
  <c r="L79" i="23"/>
  <c r="J9" i="23"/>
  <c r="M11" i="23"/>
  <c r="M32" i="23"/>
  <c r="L80" i="23"/>
  <c r="M8" i="23"/>
  <c r="L13" i="23"/>
  <c r="D14" i="23"/>
  <c r="S22" i="23"/>
  <c r="Q23" i="23"/>
  <c r="N30" i="23"/>
  <c r="I46" i="23"/>
  <c r="I48" i="23"/>
  <c r="F92" i="23"/>
  <c r="L93" i="23"/>
  <c r="J17" i="23"/>
  <c r="L20" i="23"/>
  <c r="N25" i="23"/>
  <c r="I31" i="23"/>
  <c r="J43" i="23"/>
  <c r="M17" i="23"/>
  <c r="T25" i="23"/>
  <c r="M31" i="23"/>
  <c r="M43" i="23"/>
  <c r="N84" i="23"/>
  <c r="N16" i="23"/>
  <c r="P17" i="23"/>
  <c r="J24" i="23"/>
  <c r="N31" i="23"/>
  <c r="Q43" i="23"/>
  <c r="N12" i="23"/>
  <c r="G14" i="23"/>
  <c r="F14" i="23" s="1"/>
  <c r="P14" i="23" s="1"/>
  <c r="P16" i="23"/>
  <c r="Q17" i="23"/>
  <c r="P18" i="23"/>
  <c r="Q24" i="23"/>
  <c r="M30" i="23"/>
  <c r="Q32" i="23"/>
  <c r="R32" i="23" s="1"/>
  <c r="G106" i="23"/>
  <c r="F106" i="23" s="1"/>
  <c r="M83" i="23"/>
  <c r="I93" i="23"/>
  <c r="M37" i="23"/>
  <c r="J37" i="23"/>
  <c r="Q37" i="23"/>
  <c r="J27" i="23"/>
  <c r="J19" i="23"/>
  <c r="N23" i="23"/>
  <c r="L26" i="23"/>
  <c r="L48" i="23"/>
  <c r="M54" i="23"/>
  <c r="P58" i="23"/>
  <c r="K81" i="23"/>
  <c r="M81" i="23" s="1"/>
  <c r="P10" i="23"/>
  <c r="P13" i="23"/>
  <c r="J18" i="23"/>
  <c r="M19" i="23"/>
  <c r="I23" i="23"/>
  <c r="L22" i="23"/>
  <c r="M26" i="23"/>
  <c r="L27" i="23"/>
  <c r="N41" i="23"/>
  <c r="L11" i="23"/>
  <c r="I17" i="23"/>
  <c r="N18" i="23"/>
  <c r="Q19" i="23"/>
  <c r="J23" i="23"/>
  <c r="P27" i="23"/>
  <c r="L29" i="23"/>
  <c r="I30" i="23"/>
  <c r="L31" i="23"/>
  <c r="M34" i="23"/>
  <c r="P35" i="23"/>
  <c r="Q40" i="23"/>
  <c r="L44" i="23"/>
  <c r="Q48" i="23"/>
  <c r="K60" i="23"/>
  <c r="K72" i="23" s="1"/>
  <c r="F71" i="23"/>
  <c r="I71" i="23" s="1"/>
  <c r="L104" i="23"/>
  <c r="Q18" i="23"/>
  <c r="I27" i="23"/>
  <c r="T27" i="23"/>
  <c r="L30" i="23"/>
  <c r="M33" i="23"/>
  <c r="I35" i="23"/>
  <c r="J41" i="23"/>
  <c r="L49" i="23"/>
  <c r="K86" i="23"/>
  <c r="N20" i="23"/>
  <c r="J35" i="23"/>
  <c r="P36" i="23"/>
  <c r="N38" i="23"/>
  <c r="M49" i="23"/>
  <c r="L54" i="23"/>
  <c r="Q27" i="23"/>
  <c r="I13" i="23"/>
  <c r="J40" i="23"/>
  <c r="L43" i="23"/>
  <c r="L10" i="23"/>
  <c r="M27" i="23"/>
  <c r="M35" i="23"/>
  <c r="M41" i="23"/>
  <c r="N49" i="23"/>
  <c r="N8" i="23"/>
  <c r="L35" i="23"/>
  <c r="I39" i="23"/>
  <c r="M40" i="23"/>
  <c r="M45" i="23"/>
  <c r="L78" i="23"/>
  <c r="I87" i="23"/>
  <c r="P8" i="23"/>
  <c r="P20" i="23"/>
  <c r="Q28" i="23"/>
  <c r="R28" i="23" s="1"/>
  <c r="P28" i="23"/>
  <c r="I28" i="23"/>
  <c r="P38" i="23"/>
  <c r="L40" i="23"/>
  <c r="P44" i="23"/>
  <c r="Q47" i="23"/>
  <c r="J8" i="23"/>
  <c r="I9" i="23"/>
  <c r="P12" i="23"/>
  <c r="I12" i="23"/>
  <c r="P34" i="23"/>
  <c r="L36" i="23"/>
  <c r="P45" i="23"/>
  <c r="Q58" i="23"/>
  <c r="J58" i="23"/>
  <c r="M58" i="23"/>
  <c r="L58" i="23"/>
  <c r="N61" i="23"/>
  <c r="H106" i="23"/>
  <c r="I7" i="23"/>
  <c r="P7" i="23"/>
  <c r="I11" i="23"/>
  <c r="M16" i="23"/>
  <c r="S16" i="23"/>
  <c r="L16" i="23"/>
  <c r="Q16" i="23"/>
  <c r="L17" i="23"/>
  <c r="L19" i="23"/>
  <c r="Q26" i="23"/>
  <c r="J26" i="23"/>
  <c r="P26" i="23"/>
  <c r="M28" i="23"/>
  <c r="L32" i="23"/>
  <c r="I34" i="23"/>
  <c r="Q34" i="23"/>
  <c r="M36" i="23"/>
  <c r="L38" i="23"/>
  <c r="P41" i="23"/>
  <c r="I45" i="23"/>
  <c r="M47" i="23"/>
  <c r="I58" i="23"/>
  <c r="L63" i="23"/>
  <c r="P63" i="23"/>
  <c r="I63" i="23"/>
  <c r="M63" i="23"/>
  <c r="N63" i="23"/>
  <c r="P9" i="23"/>
  <c r="Q44" i="23"/>
  <c r="R44" i="23" s="1"/>
  <c r="J44" i="23"/>
  <c r="P65" i="23"/>
  <c r="L65" i="23"/>
  <c r="N10" i="23"/>
  <c r="M10" i="23"/>
  <c r="M18" i="23"/>
  <c r="J20" i="23"/>
  <c r="P22" i="23"/>
  <c r="J22" i="23"/>
  <c r="I22" i="23"/>
  <c r="Q25" i="23"/>
  <c r="R25" i="23" s="1"/>
  <c r="J25" i="23"/>
  <c r="P25" i="23"/>
  <c r="I25" i="23"/>
  <c r="L28" i="23"/>
  <c r="I37" i="23"/>
  <c r="N37" i="23"/>
  <c r="M46" i="23"/>
  <c r="J7" i="23"/>
  <c r="Q7" i="23"/>
  <c r="L8" i="23"/>
  <c r="L12" i="23"/>
  <c r="I16" i="23"/>
  <c r="M20" i="23"/>
  <c r="Q22" i="23"/>
  <c r="L25" i="23"/>
  <c r="I26" i="23"/>
  <c r="N28" i="23"/>
  <c r="M29" i="23"/>
  <c r="J34" i="23"/>
  <c r="P37" i="23"/>
  <c r="I41" i="23"/>
  <c r="Q41" i="23"/>
  <c r="M44" i="23"/>
  <c r="N47" i="23"/>
  <c r="I77" i="23"/>
  <c r="L77" i="23"/>
  <c r="J77" i="23"/>
  <c r="M77" i="23"/>
  <c r="F86" i="23"/>
  <c r="H95" i="23"/>
  <c r="F90" i="23"/>
  <c r="F91" i="23"/>
  <c r="I99" i="23"/>
  <c r="P99" i="23"/>
  <c r="Q36" i="23"/>
  <c r="P47" i="23"/>
  <c r="J61" i="23"/>
  <c r="M61" i="23"/>
  <c r="I61" i="23"/>
  <c r="N81" i="23"/>
  <c r="I81" i="23"/>
  <c r="L82" i="23"/>
  <c r="L85" i="23"/>
  <c r="I85" i="23"/>
  <c r="M85" i="23"/>
  <c r="N85" i="23"/>
  <c r="P103" i="23"/>
  <c r="I103" i="23"/>
  <c r="I36" i="23"/>
  <c r="I47" i="23"/>
  <c r="J85" i="23"/>
  <c r="I88" i="23"/>
  <c r="L88" i="23"/>
  <c r="I104" i="23"/>
  <c r="P104" i="23"/>
  <c r="L7" i="23"/>
  <c r="N9" i="23"/>
  <c r="Q38" i="23"/>
  <c r="R38" i="23" s="1"/>
  <c r="J38" i="23"/>
  <c r="I8" i="23"/>
  <c r="P11" i="23"/>
  <c r="N13" i="23"/>
  <c r="M13" i="23"/>
  <c r="F15" i="23"/>
  <c r="I20" i="23"/>
  <c r="Q20" i="23"/>
  <c r="D22" i="23"/>
  <c r="L23" i="23"/>
  <c r="N34" i="23"/>
  <c r="L37" i="23"/>
  <c r="I38" i="23"/>
  <c r="M39" i="23"/>
  <c r="L39" i="23"/>
  <c r="Q39" i="23"/>
  <c r="R39" i="23" s="1"/>
  <c r="I44" i="23"/>
  <c r="N45" i="23"/>
  <c r="P59" i="23"/>
  <c r="I59" i="23"/>
  <c r="L61" i="23"/>
  <c r="I65" i="23"/>
  <c r="G107" i="23"/>
  <c r="F107" i="23" s="1"/>
  <c r="G70" i="23"/>
  <c r="I78" i="23"/>
  <c r="J81" i="23"/>
  <c r="L18" i="23"/>
  <c r="N19" i="23"/>
  <c r="N24" i="23"/>
  <c r="P33" i="23"/>
  <c r="N40" i="23"/>
  <c r="N43" i="23"/>
  <c r="I50" i="23"/>
  <c r="M50" i="23"/>
  <c r="M79" i="23"/>
  <c r="I80" i="23"/>
  <c r="M80" i="23"/>
  <c r="I84" i="23"/>
  <c r="L84" i="23"/>
  <c r="J84" i="23"/>
  <c r="M9" i="23"/>
  <c r="I19" i="23"/>
  <c r="I24" i="23"/>
  <c r="I33" i="23"/>
  <c r="I40" i="23"/>
  <c r="I43" i="23"/>
  <c r="N83" i="23"/>
  <c r="L83" i="23"/>
  <c r="I49" i="23"/>
  <c r="I54" i="23"/>
  <c r="P54" i="23"/>
  <c r="I62" i="23"/>
  <c r="P62" i="23"/>
  <c r="N79" i="23"/>
  <c r="L87" i="23"/>
  <c r="J79" i="23"/>
  <c r="Q72" i="23" l="1"/>
  <c r="H70" i="23"/>
  <c r="H66" i="23" s="1"/>
  <c r="L99" i="23"/>
  <c r="J72" i="23"/>
  <c r="D107" i="23"/>
  <c r="D105" i="23" s="1"/>
  <c r="D102" i="23" s="1"/>
  <c r="P72" i="23"/>
  <c r="I72" i="23"/>
  <c r="H105" i="23"/>
  <c r="H102" i="23" s="1"/>
  <c r="M76" i="23"/>
  <c r="N76" i="23"/>
  <c r="L81" i="23"/>
  <c r="L71" i="23"/>
  <c r="D51" i="23"/>
  <c r="D97" i="23" s="1"/>
  <c r="N60" i="23"/>
  <c r="J60" i="23"/>
  <c r="L76" i="23"/>
  <c r="T49" i="23"/>
  <c r="I60" i="23"/>
  <c r="I76" i="23"/>
  <c r="Q14" i="23"/>
  <c r="G51" i="23"/>
  <c r="F51" i="23" s="1"/>
  <c r="I51" i="23" s="1"/>
  <c r="L9" i="23"/>
  <c r="I14" i="23"/>
  <c r="J14" i="23"/>
  <c r="S51" i="23"/>
  <c r="N22" i="23"/>
  <c r="L92" i="23"/>
  <c r="I92" i="23"/>
  <c r="K95" i="23"/>
  <c r="M22" i="23"/>
  <c r="M72" i="23"/>
  <c r="L72" i="23"/>
  <c r="H74" i="23"/>
  <c r="M60" i="23"/>
  <c r="M14" i="23"/>
  <c r="L60" i="23"/>
  <c r="M71" i="23"/>
  <c r="H97" i="23"/>
  <c r="J71" i="23"/>
  <c r="N14" i="23"/>
  <c r="P71" i="23"/>
  <c r="G95" i="23"/>
  <c r="F95" i="23" s="1"/>
  <c r="L14" i="23"/>
  <c r="N71" i="23"/>
  <c r="Q71" i="23"/>
  <c r="L106" i="23"/>
  <c r="I106" i="23"/>
  <c r="M106" i="23"/>
  <c r="N106" i="23"/>
  <c r="J106" i="23"/>
  <c r="K107" i="23"/>
  <c r="K105" i="23" s="1"/>
  <c r="K70" i="23"/>
  <c r="J107" i="23"/>
  <c r="N107" i="23"/>
  <c r="I107" i="23"/>
  <c r="I91" i="23"/>
  <c r="L91" i="23"/>
  <c r="M24" i="23"/>
  <c r="L24" i="23"/>
  <c r="F70" i="23"/>
  <c r="G66" i="23"/>
  <c r="G105" i="23"/>
  <c r="G102" i="23" s="1"/>
  <c r="Q15" i="23"/>
  <c r="P15" i="23"/>
  <c r="J15" i="23"/>
  <c r="N15" i="23"/>
  <c r="I15" i="23"/>
  <c r="L15" i="23"/>
  <c r="M15" i="23"/>
  <c r="I90" i="23"/>
  <c r="L90" i="23"/>
  <c r="K124" i="23"/>
  <c r="K123" i="23"/>
  <c r="N86" i="23"/>
  <c r="L86" i="23"/>
  <c r="M86" i="23"/>
  <c r="J86" i="23"/>
  <c r="I86" i="23"/>
  <c r="K68" i="23" l="1"/>
  <c r="H108" i="23"/>
  <c r="D74" i="23"/>
  <c r="D108" i="23"/>
  <c r="G97" i="23"/>
  <c r="S49" i="23"/>
  <c r="U49" i="23" s="1"/>
  <c r="P51" i="23"/>
  <c r="K97" i="23"/>
  <c r="Q51" i="23"/>
  <c r="J51" i="23"/>
  <c r="M51" i="23"/>
  <c r="L51" i="23"/>
  <c r="K125" i="23"/>
  <c r="M107" i="23"/>
  <c r="N51" i="23"/>
  <c r="F105" i="23"/>
  <c r="J95" i="23"/>
  <c r="M95" i="23"/>
  <c r="L95" i="23"/>
  <c r="I95" i="23"/>
  <c r="N95" i="23"/>
  <c r="F66" i="23"/>
  <c r="G74" i="23"/>
  <c r="L70" i="23"/>
  <c r="I70" i="23"/>
  <c r="M70" i="23"/>
  <c r="J70" i="23"/>
  <c r="N70" i="23"/>
  <c r="P70" i="23"/>
  <c r="Q70" i="23"/>
  <c r="S74" i="23"/>
  <c r="L107" i="23"/>
  <c r="D117" i="23" l="1"/>
  <c r="D111" i="23"/>
  <c r="M68" i="23"/>
  <c r="K103" i="23"/>
  <c r="L68" i="23"/>
  <c r="K66" i="23"/>
  <c r="K74" i="23" s="1"/>
  <c r="H117" i="23"/>
  <c r="F97" i="23"/>
  <c r="N97" i="23" s="1"/>
  <c r="F102" i="23"/>
  <c r="G108" i="23"/>
  <c r="G111" i="23" s="1"/>
  <c r="I66" i="23"/>
  <c r="Q66" i="23"/>
  <c r="P66" i="23"/>
  <c r="N66" i="23"/>
  <c r="J66" i="23"/>
  <c r="N105" i="23"/>
  <c r="I105" i="23"/>
  <c r="J105" i="23"/>
  <c r="M105" i="23"/>
  <c r="L105" i="23"/>
  <c r="F74" i="23"/>
  <c r="L103" i="23" l="1"/>
  <c r="K102" i="23"/>
  <c r="K108" i="23" s="1"/>
  <c r="M66" i="23"/>
  <c r="L66" i="23"/>
  <c r="M97" i="23"/>
  <c r="L97" i="23"/>
  <c r="E117" i="23"/>
  <c r="E119" i="23"/>
  <c r="I97" i="23"/>
  <c r="J97" i="23"/>
  <c r="F108" i="23"/>
  <c r="L74" i="23"/>
  <c r="I74" i="23"/>
  <c r="M74" i="23"/>
  <c r="J74" i="23"/>
  <c r="N74" i="23"/>
  <c r="Q74" i="23"/>
  <c r="P74" i="23"/>
  <c r="I102" i="23"/>
  <c r="N102" i="23"/>
  <c r="J102" i="23"/>
  <c r="M102" i="23" l="1"/>
  <c r="F117" i="23"/>
  <c r="F111" i="23"/>
  <c r="L102" i="23"/>
  <c r="L108" i="23"/>
  <c r="N108" i="23"/>
  <c r="J108" i="23"/>
  <c r="M108" i="23"/>
  <c r="F119" i="23"/>
  <c r="I108" i="23"/>
  <c r="Q84" i="23" l="1"/>
  <c r="Q77" i="23"/>
  <c r="Q81" i="23"/>
  <c r="Q85" i="23"/>
  <c r="Q86" i="23"/>
  <c r="P86" i="23"/>
  <c r="O97" i="23"/>
  <c r="P97" i="23" s="1"/>
  <c r="P82" i="23"/>
  <c r="P81" i="23"/>
  <c r="Q79" i="23"/>
  <c r="P79" i="23"/>
  <c r="P84" i="23"/>
  <c r="P77" i="23"/>
  <c r="P87" i="23"/>
  <c r="S95" i="23"/>
  <c r="Q95" i="23"/>
  <c r="P93" i="23"/>
  <c r="O107" i="23"/>
  <c r="Q107" i="23" s="1"/>
  <c r="P107" i="23"/>
  <c r="P95" i="23"/>
  <c r="Q76" i="23"/>
  <c r="P76" i="23"/>
  <c r="Q78" i="23"/>
  <c r="P80" i="23"/>
  <c r="P92" i="23"/>
  <c r="O106" i="23"/>
  <c r="P106" i="23" s="1"/>
  <c r="P91" i="23"/>
  <c r="P90" i="23"/>
  <c r="P78" i="23"/>
  <c r="P83" i="23"/>
  <c r="P88" i="23"/>
  <c r="P85" i="23"/>
  <c r="Q97" i="23" l="1"/>
  <c r="Q106" i="23"/>
  <c r="O105" i="23"/>
  <c r="O102" i="23" s="1"/>
  <c r="P105" i="23" l="1"/>
  <c r="Q105" i="23"/>
  <c r="Q102" i="23" l="1"/>
  <c r="O108" i="23"/>
  <c r="O111" i="23" s="1"/>
  <c r="P102" i="23"/>
  <c r="P108" i="23" l="1"/>
  <c r="S108" i="23"/>
  <c r="Q108" i="23"/>
</calcChain>
</file>

<file path=xl/sharedStrings.xml><?xml version="1.0" encoding="utf-8"?>
<sst xmlns="http://schemas.openxmlformats.org/spreadsheetml/2006/main" count="212" uniqueCount="198">
  <si>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</si>
  <si>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</si>
  <si>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</si>
  <si>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</si>
  <si>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</si>
  <si>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</si>
  <si>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</si>
  <si>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</si>
  <si>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</si>
  <si>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</si>
  <si>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</si>
  <si>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</si>
  <si>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</si>
  <si>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</si>
  <si>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</si>
  <si>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</si>
  <si>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</si>
  <si>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</si>
  <si>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</si>
  <si>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</si>
  <si>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</si>
  <si>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</si>
  <si>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</si>
  <si>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</si>
  <si>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</si>
  <si>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</si>
  <si>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</si>
  <si>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</si>
  <si>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</si>
  <si>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</si>
  <si>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</si>
  <si>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</si>
  <si>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</si>
  <si>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</si>
  <si>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</si>
  <si>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</si>
  <si>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</si>
  <si>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</si>
  <si>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</si>
  <si>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</si>
  <si>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</si>
  <si>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</si>
  <si>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</si>
  <si>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</si>
  <si>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</si>
  <si>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</si>
  <si>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</si>
  <si>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</si>
  <si>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</si>
  <si>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</si>
  <si>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</si>
  <si>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</si>
  <si>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</si>
  <si>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</si>
  <si>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</si>
  <si>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</si>
  <si>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</si>
  <si>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</si>
  <si>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</si>
  <si>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</si>
  <si>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</si>
  <si>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</si>
  <si>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</si>
  <si>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</si>
  <si>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</si>
  <si>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</si>
  <si>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</si>
  <si>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</si>
  <si>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</si>
  <si>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</si>
  <si>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</si>
  <si>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</si>
  <si>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</si>
  <si>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</si>
  <si>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</si>
  <si>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</si>
  <si>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</si>
  <si>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</si>
  <si>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</si>
  <si>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</si>
  <si>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</si>
  <si>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</si>
  <si>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</si>
  <si>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</si>
  <si>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</si>
  <si>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</si>
  <si>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</si>
  <si>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</si>
  <si>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</si>
  <si>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</si>
  <si>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</si>
  <si>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</si>
  <si>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</si>
  <si>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</si>
  <si>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</si>
  <si>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</si>
  <si>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</si>
  <si>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</si>
  <si>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</si>
  <si>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</si>
  <si>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</si>
  <si>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</si>
  <si>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</si>
  <si>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</si>
  <si>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</si>
  <si>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</si>
  <si>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</si>
  <si>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</si>
  <si>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</si>
  <si>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</si>
  <si>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</si>
  <si>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</si>
  <si>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</si>
  <si>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</si>
  <si>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</si>
  <si>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</si>
  <si>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</si>
  <si>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</si>
  <si>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</si>
  <si>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</si>
  <si>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</si>
  <si>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</si>
  <si>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</si>
  <si>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</si>
  <si>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</si>
  <si>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</si>
  <si>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</si>
  <si>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</si>
  <si>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</si>
  <si>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</si>
  <si>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</si>
  <si>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</si>
  <si>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</si>
  <si>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</si>
  <si>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</si>
  <si>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</si>
  <si>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</si>
  <si>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</si>
  <si>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</si>
  <si>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</si>
  <si>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</si>
  <si>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</si>
  <si>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</si>
  <si>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</si>
  <si>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</si>
  <si>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</si>
  <si>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</si>
  <si>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</si>
  <si>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</si>
  <si>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</si>
  <si>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</si>
  <si>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</si>
  <si>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</si>
  <si>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</si>
  <si>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</si>
  <si>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</si>
  <si>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</si>
  <si>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4.3.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</si>
  <si>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</si>
  <si>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</si>
  <si>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</si>
  <si>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</si>
  <si>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</si>
  <si>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</si>
  <si>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</si>
  <si>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</si>
  <si>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</si>
  <si>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>Надійшло за січень 2025р.</t>
  </si>
  <si>
    <t>План на січень 2025р. (розрахунковий)</t>
  </si>
  <si>
    <t xml:space="preserve">Відхилення надходжень до плану на січень 2025 року (розрахунковий) 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</si>
  <si>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</si>
  <si>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</si>
  <si>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</si>
  <si>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</si>
  <si>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</si>
  <si>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</si>
  <si>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</si>
  <si>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</si>
  <si>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</si>
  <si>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6.5.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</si>
  <si>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</si>
  <si>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41021400</t>
  </si>
  <si>
    <t>Субвенція  з  державного  бюджету  місцевим  бюджетам на забезпечення харчуванням учнів закладів загальної середньої освіти</t>
  </si>
  <si>
    <t>41031100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</si>
  <si>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</si>
  <si>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41059300</t>
  </si>
  <si>
    <t>Бюджет 
на 2026 рік</t>
  </si>
  <si>
    <t>Уточнений бюджет на 2026 рік</t>
  </si>
  <si>
    <t>Надійшло за січень 2026р.</t>
  </si>
  <si>
    <t>План на січень 2026 року</t>
  </si>
  <si>
    <t>% виконання до бюджету на 2026р. (норма 8,3%)</t>
  </si>
  <si>
    <t>Відхилення надходжень до плану на січень 2026 року</t>
  </si>
  <si>
    <t>Відхилення факту  2026р. від факту 2025р.</t>
  </si>
  <si>
    <t>9.1.</t>
  </si>
  <si>
    <t>9.2.</t>
  </si>
  <si>
    <t>9.3.</t>
  </si>
  <si>
    <t>9.4.</t>
  </si>
  <si>
    <t>Аналіз виконання бюджету Вінницької міської територіальної громади за січень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</si>
</sst>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.5"/>
      <name val="Times New Roman Cyr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220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166" fontId="30" fillId="2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32" fillId="2" borderId="1" xfId="3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2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49" fontId="36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6" fontId="37" fillId="2" borderId="1" xfId="1" applyNumberFormat="1" applyFont="1" applyFill="1" applyBorder="1" applyAlignment="1">
      <alignment horizontal="center" vertical="center" wrapText="1"/>
    </xf>
    <xf numFmtId="167" fontId="37" fillId="0" borderId="1" xfId="1" applyNumberFormat="1" applyFont="1" applyFill="1" applyBorder="1" applyAlignment="1">
      <alignment horizontal="center" vertical="center" wrapText="1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2" fillId="2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166" fontId="30" fillId="2" borderId="0" xfId="1" applyNumberFormat="1" applyFont="1" applyFill="1" applyBorder="1" applyAlignment="1">
      <alignment horizontal="center" vertical="center" wrapText="1"/>
    </xf>
    <xf numFmtId="0" fontId="29" fillId="0" borderId="0" xfId="0" applyFont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7" fillId="0" borderId="1" xfId="3" applyNumberFormat="1" applyFont="1" applyFill="1" applyBorder="1" applyAlignment="1">
      <alignment horizontal="center" vertical="center" wrapText="1"/>
    </xf>
    <xf numFmtId="166" fontId="37" fillId="2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166" fontId="32" fillId="2" borderId="1" xfId="3" applyNumberFormat="1" applyFont="1" applyFill="1" applyBorder="1" applyAlignment="1">
      <alignment horizontal="center" vertical="center" wrapTex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0" fontId="45" fillId="0" borderId="1" xfId="1" applyFont="1" applyFill="1" applyBorder="1" applyAlignment="1">
      <alignment horizontal="left" vertical="center" wrapText="1"/>
    </xf>
    <xf numFmtId="0" fontId="45" fillId="0" borderId="1" xfId="3" applyNumberFormat="1" applyFont="1" applyFill="1" applyBorder="1" applyAlignment="1">
      <alignment horizontal="justify" vertical="center" wrapText="1" shrinkToFit="1"/>
    </xf>
    <xf numFmtId="0" fontId="46" fillId="0" borderId="1" xfId="3" applyNumberFormat="1" applyFont="1" applyFill="1" applyBorder="1" applyAlignment="1">
      <alignment horizontal="justify" vertical="center" wrapText="1" shrinkToFit="1"/>
    </xf>
    <xf numFmtId="0" fontId="47" fillId="0" borderId="1" xfId="3" applyNumberFormat="1" applyFont="1" applyFill="1" applyBorder="1" applyAlignment="1">
      <alignment horizontal="left" vertical="center" wrapText="1" shrinkToFit="1"/>
    </xf>
    <xf numFmtId="0" fontId="29" fillId="0" borderId="1" xfId="3" applyFont="1" applyFill="1" applyBorder="1" applyAlignment="1">
      <alignment horizontal="left" vertical="center" wrapText="1"/>
    </xf>
    <xf numFmtId="49" fontId="44" fillId="0" borderId="1" xfId="3" applyNumberFormat="1" applyFont="1" applyFill="1" applyBorder="1" applyAlignment="1">
      <alignment horizontal="left" vertical="center" wrapText="1"/>
    </xf>
    <xf numFmtId="0" fontId="43" fillId="0" borderId="1" xfId="2" applyFont="1" applyFill="1" applyBorder="1" applyAlignment="1">
      <alignment horizontal="left" vertical="center" wrapText="1"/>
    </xf>
    <xf numFmtId="0" fontId="48" fillId="0" borderId="1" xfId="3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vertical="center" wrapText="1"/>
    </xf>
    <xf numFmtId="49" fontId="29" fillId="0" borderId="1" xfId="3" applyNumberFormat="1" applyFont="1" applyFill="1" applyBorder="1" applyAlignment="1">
      <alignment horizontal="left" vertical="center" wrapText="1"/>
    </xf>
    <xf numFmtId="49" fontId="48" fillId="0" borderId="1" xfId="3" applyNumberFormat="1" applyFont="1" applyFill="1" applyBorder="1" applyAlignment="1">
      <alignment horizontal="left" vertical="center" wrapText="1"/>
    </xf>
    <xf numFmtId="49" fontId="44" fillId="0" borderId="1" xfId="2" applyNumberFormat="1" applyFont="1" applyFill="1" applyBorder="1" applyAlignment="1">
      <alignment horizontal="left" vertical="center" wrapText="1"/>
    </xf>
    <xf numFmtId="0" fontId="44" fillId="0" borderId="1" xfId="2" applyNumberFormat="1" applyFont="1" applyFill="1" applyBorder="1" applyAlignment="1">
      <alignment horizontal="left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32" fillId="2" borderId="3" xfId="3" applyFont="1" applyFill="1" applyBorder="1" applyAlignment="1">
      <alignment horizontal="center" vertical="center" wrapText="1"/>
    </xf>
    <xf numFmtId="0" fontId="32" fillId="2" borderId="4" xfId="3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29" fillId="2" borderId="1" xfId="3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39"/>
  <sheetViews>
    <sheetView showGridLines="0" tabSelected="1" view="pageBreakPreview" zoomScale="75" zoomScaleNormal="75" zoomScaleSheetLayoutView="75" workbookViewId="0">
      <pane xSplit="3" ySplit="4" topLeftCell="H92" activePane="bottomRight" state="frozen"/>
      <selection pane="topRight" activeCell="D1" sqref="D1"/>
      <selection pane="bottomLeft" activeCell="A5" sqref="A5"/>
      <selection pane="bottomRight" activeCell="C3" sqref="C3:C4"/>
    </sheetView>
  </sheetViews>
  <sheetFormatPr defaultRowHeight="12.75" x14ac:dyDescent="0.2"/>
  <cols>
    <col min="1" max="1" width="12.28515625" style="19" customWidth="1"/>
    <col min="2" max="2" width="112.7109375" style="19" customWidth="1"/>
    <col min="3" max="3" width="16.140625" style="19" customWidth="1"/>
    <col min="4" max="5" width="24.140625" style="19" customWidth="1"/>
    <col min="6" max="6" width="24.28515625" style="31" customWidth="1"/>
    <col min="7" max="7" width="21.140625" style="3" hidden="1" customWidth="1"/>
    <col min="8" max="9" width="21.28515625" style="3" customWidth="1"/>
    <col min="10" max="10" width="14.85546875" style="3" bestFit="1" customWidth="1"/>
    <col min="11" max="11" width="26.42578125" style="3" hidden="1" customWidth="1"/>
    <col min="12" max="12" width="28.28515625" style="3" hidden="1" customWidth="1"/>
    <col min="13" max="13" width="13.85546875" style="3" hidden="1" customWidth="1"/>
    <col min="14" max="14" width="15.28515625" style="3" customWidth="1"/>
    <col min="15" max="15" width="24.28515625" style="31" customWidth="1"/>
    <col min="16" max="16" width="21.28515625" style="1" customWidth="1"/>
    <col min="17" max="17" width="13.7109375" style="3" bestFit="1" customWidth="1"/>
    <col min="18" max="18" width="24.140625" style="3" hidden="1" customWidth="1"/>
    <col min="19" max="19" width="22.5703125" style="3" hidden="1" customWidth="1"/>
    <col min="20" max="20" width="15.85546875" style="3" hidden="1" customWidth="1"/>
    <col min="21" max="21" width="0" style="3" hidden="1" customWidth="1"/>
    <col min="22" max="22" width="24.140625" style="3" hidden="1" customWidth="1"/>
    <col min="23" max="23" width="0" style="3" hidden="1" customWidth="1"/>
    <col min="24" max="24" width="15.140625" style="3" hidden="1" customWidth="1"/>
    <col min="25" max="35" width="0" style="3" hidden="1" customWidth="1"/>
    <col min="36" max="16384" width="9.140625" style="3"/>
  </cols>
  <sheetData>
    <row r="1" spans="1:32" ht="30" customHeight="1" x14ac:dyDescent="0.2">
      <c r="A1" s="207" t="s">
        <v>197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32" ht="18.75" x14ac:dyDescent="0.3">
      <c r="A2" s="22" t="s">
        <v>48</v>
      </c>
      <c r="B2" s="17"/>
      <c r="C2" s="1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5" t="s">
        <v>13</v>
      </c>
      <c r="Q2" s="5"/>
    </row>
    <row r="3" spans="1:32" s="60" customFormat="1" ht="15" customHeight="1" x14ac:dyDescent="0.25">
      <c r="A3" s="199" t="s">
        <v>0</v>
      </c>
      <c r="B3" s="200" t="s">
        <v>1</v>
      </c>
      <c r="C3" s="200" t="s">
        <v>2</v>
      </c>
      <c r="D3" s="198" t="s">
        <v>186</v>
      </c>
      <c r="E3" s="198" t="s">
        <v>187</v>
      </c>
      <c r="F3" s="219" t="s">
        <v>188</v>
      </c>
      <c r="G3" s="198" t="s">
        <v>63</v>
      </c>
      <c r="H3" s="198" t="s">
        <v>189</v>
      </c>
      <c r="I3" s="198" t="s">
        <v>191</v>
      </c>
      <c r="J3" s="198" t="s">
        <v>3</v>
      </c>
      <c r="K3" s="198" t="s">
        <v>168</v>
      </c>
      <c r="L3" s="198" t="s">
        <v>169</v>
      </c>
      <c r="M3" s="198" t="s">
        <v>3</v>
      </c>
      <c r="N3" s="218" t="s">
        <v>190</v>
      </c>
      <c r="O3" s="219" t="s">
        <v>167</v>
      </c>
      <c r="P3" s="198" t="s">
        <v>192</v>
      </c>
      <c r="Q3" s="198" t="s">
        <v>3</v>
      </c>
    </row>
    <row r="4" spans="1:32" s="60" customFormat="1" ht="71.25" customHeight="1" x14ac:dyDescent="0.25">
      <c r="A4" s="199"/>
      <c r="B4" s="200"/>
      <c r="C4" s="200"/>
      <c r="D4" s="198"/>
      <c r="E4" s="198"/>
      <c r="F4" s="219"/>
      <c r="G4" s="198"/>
      <c r="H4" s="198"/>
      <c r="I4" s="198"/>
      <c r="J4" s="198"/>
      <c r="K4" s="198"/>
      <c r="L4" s="198"/>
      <c r="M4" s="198"/>
      <c r="N4" s="218"/>
      <c r="O4" s="219"/>
      <c r="P4" s="198"/>
      <c r="Q4" s="198"/>
    </row>
    <row r="5" spans="1:32" s="65" customFormat="1" ht="20.25" x14ac:dyDescent="0.2">
      <c r="A5" s="61" t="s">
        <v>4</v>
      </c>
      <c r="B5" s="62" t="s">
        <v>5</v>
      </c>
      <c r="C5" s="62">
        <f>B5+1</f>
        <v>3</v>
      </c>
      <c r="D5" s="62">
        <f>C5+1</f>
        <v>4</v>
      </c>
      <c r="E5" s="62">
        <f t="shared" ref="E5:Q5" si="0">D5+1</f>
        <v>5</v>
      </c>
      <c r="F5" s="63">
        <f t="shared" si="0"/>
        <v>6</v>
      </c>
      <c r="G5" s="62">
        <f t="shared" si="0"/>
        <v>7</v>
      </c>
      <c r="H5" s="62">
        <v>7</v>
      </c>
      <c r="I5" s="62">
        <f t="shared" si="0"/>
        <v>8</v>
      </c>
      <c r="J5" s="62">
        <f t="shared" si="0"/>
        <v>9</v>
      </c>
      <c r="K5" s="62">
        <f t="shared" si="0"/>
        <v>10</v>
      </c>
      <c r="L5" s="62">
        <f t="shared" si="0"/>
        <v>11</v>
      </c>
      <c r="M5" s="62">
        <f t="shared" si="0"/>
        <v>12</v>
      </c>
      <c r="N5" s="62">
        <v>10</v>
      </c>
      <c r="O5" s="63">
        <f t="shared" si="0"/>
        <v>11</v>
      </c>
      <c r="P5" s="62">
        <f t="shared" si="0"/>
        <v>12</v>
      </c>
      <c r="Q5" s="62">
        <f t="shared" si="0"/>
        <v>13</v>
      </c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</row>
    <row r="6" spans="1:32" s="66" customFormat="1" ht="19.5" x14ac:dyDescent="0.2">
      <c r="A6" s="214" t="s">
        <v>6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6"/>
    </row>
    <row r="7" spans="1:32" s="71" customFormat="1" ht="32.25" customHeight="1" x14ac:dyDescent="0.25">
      <c r="A7" s="156">
        <v>1</v>
      </c>
      <c r="B7" s="189" t="s">
        <v>64</v>
      </c>
      <c r="C7" s="68" t="s">
        <v>14</v>
      </c>
      <c r="D7" s="103">
        <v>4711296.5599999996</v>
      </c>
      <c r="E7" s="164">
        <v>4711296.5599999996</v>
      </c>
      <c r="F7" s="104">
        <f>SUM(G7:G7)</f>
        <v>334636.39500000002</v>
      </c>
      <c r="G7" s="103">
        <v>334636.39500000002</v>
      </c>
      <c r="H7" s="103">
        <v>217943</v>
      </c>
      <c r="I7" s="103">
        <f>F7-H7</f>
        <v>116693.39500000002</v>
      </c>
      <c r="J7" s="149">
        <f>F7/H7*100</f>
        <v>153.54308007139483</v>
      </c>
      <c r="K7" s="103">
        <f>E7/12*1</f>
        <v>392608.04666666663</v>
      </c>
      <c r="L7" s="103">
        <f>F7-K7</f>
        <v>-57971.651666666614</v>
      </c>
      <c r="M7" s="149">
        <f>F7/K7*100</f>
        <v>85.234217138731765</v>
      </c>
      <c r="N7" s="149">
        <f>F7/E7*100</f>
        <v>7.1028514282276483</v>
      </c>
      <c r="O7" s="165">
        <v>264218.864</v>
      </c>
      <c r="P7" s="105">
        <f>F7-O7</f>
        <v>70417.531000000017</v>
      </c>
      <c r="Q7" s="106">
        <f>F7/O7*100</f>
        <v>126.65121253416638</v>
      </c>
      <c r="R7" s="69"/>
      <c r="S7" s="69"/>
      <c r="T7" s="69">
        <f>R7-S7</f>
        <v>0</v>
      </c>
      <c r="U7" s="70" t="e">
        <f>R7/S7*100</f>
        <v>#DIV/0!</v>
      </c>
    </row>
    <row r="8" spans="1:32" s="71" customFormat="1" ht="23.25" x14ac:dyDescent="0.25">
      <c r="A8" s="67">
        <f>A7+1</f>
        <v>2</v>
      </c>
      <c r="B8" s="189" t="s">
        <v>36</v>
      </c>
      <c r="C8" s="68" t="s">
        <v>16</v>
      </c>
      <c r="D8" s="103">
        <v>7000</v>
      </c>
      <c r="E8" s="164">
        <v>7000</v>
      </c>
      <c r="F8" s="104">
        <f t="shared" ref="F8:F39" si="1">SUM(G8:G8)</f>
        <v>337.15100000000001</v>
      </c>
      <c r="G8" s="103">
        <v>337.15100000000001</v>
      </c>
      <c r="H8" s="103">
        <v>335</v>
      </c>
      <c r="I8" s="103">
        <f t="shared" ref="I8:I74" si="2">F8-H8</f>
        <v>2.1510000000000105</v>
      </c>
      <c r="J8" s="149">
        <f t="shared" ref="J8:J74" si="3">F8/H8*100</f>
        <v>100.64208955223882</v>
      </c>
      <c r="K8" s="103">
        <f t="shared" ref="K8:K50" si="4">E8/12*1</f>
        <v>583.33333333333337</v>
      </c>
      <c r="L8" s="103">
        <f t="shared" ref="L8:L74" si="5">F8-K8</f>
        <v>-246.18233333333336</v>
      </c>
      <c r="M8" s="149">
        <f t="shared" ref="M8:M74" si="6">F8/K8*100</f>
        <v>57.797314285714286</v>
      </c>
      <c r="N8" s="149">
        <f t="shared" ref="N8:N74" si="7">F8/E8*100</f>
        <v>4.8164428571428575</v>
      </c>
      <c r="O8" s="165">
        <v>4.7190000000000003</v>
      </c>
      <c r="P8" s="105">
        <f t="shared" ref="P8:P39" si="8">F8-O8</f>
        <v>332.43200000000002</v>
      </c>
      <c r="Q8" s="106">
        <f t="shared" ref="Q8:Q13" si="9">F8/O8*100</f>
        <v>7144.5433354524257</v>
      </c>
      <c r="R8" s="69"/>
      <c r="S8" s="69"/>
      <c r="T8" s="69">
        <f>O7/0.5</f>
        <v>528437.728</v>
      </c>
      <c r="U8" s="70">
        <f>S8/T8*100</f>
        <v>0</v>
      </c>
    </row>
    <row r="9" spans="1:32" s="71" customFormat="1" ht="33" customHeight="1" x14ac:dyDescent="0.25">
      <c r="A9" s="67">
        <v>3</v>
      </c>
      <c r="B9" s="189" t="s">
        <v>99</v>
      </c>
      <c r="C9" s="68" t="s">
        <v>100</v>
      </c>
      <c r="D9" s="103">
        <f>SUM(D10:D13)</f>
        <v>238</v>
      </c>
      <c r="E9" s="164">
        <f>SUM(E10:E13)</f>
        <v>238</v>
      </c>
      <c r="F9" s="104">
        <f t="shared" si="1"/>
        <v>3.7160000000000002</v>
      </c>
      <c r="G9" s="103">
        <f t="shared" ref="G9:H9" si="10">SUM(G10:G13)</f>
        <v>3.7160000000000002</v>
      </c>
      <c r="H9" s="103">
        <f t="shared" si="10"/>
        <v>3.6</v>
      </c>
      <c r="I9" s="103">
        <f t="shared" si="2"/>
        <v>0.1160000000000001</v>
      </c>
      <c r="J9" s="149">
        <f t="shared" si="3"/>
        <v>103.22222222222221</v>
      </c>
      <c r="K9" s="103">
        <f t="shared" si="4"/>
        <v>19.833333333333332</v>
      </c>
      <c r="L9" s="103">
        <f t="shared" si="5"/>
        <v>-16.117333333333331</v>
      </c>
      <c r="M9" s="149">
        <f t="shared" si="6"/>
        <v>18.736134453781514</v>
      </c>
      <c r="N9" s="149">
        <f t="shared" si="7"/>
        <v>1.5613445378151263</v>
      </c>
      <c r="O9" s="165">
        <f t="shared" ref="O9" si="11">SUM(O10:O13)</f>
        <v>152.92800000000003</v>
      </c>
      <c r="P9" s="105">
        <f t="shared" si="8"/>
        <v>-149.21200000000002</v>
      </c>
      <c r="Q9" s="106">
        <f t="shared" si="9"/>
        <v>2.4299016530654947</v>
      </c>
      <c r="R9" s="69"/>
      <c r="S9" s="69"/>
      <c r="T9" s="69"/>
      <c r="U9" s="70"/>
    </row>
    <row r="10" spans="1:32" s="75" customFormat="1" ht="37.5" x14ac:dyDescent="0.25">
      <c r="A10" s="72" t="s">
        <v>101</v>
      </c>
      <c r="B10" s="190" t="s">
        <v>123</v>
      </c>
      <c r="C10" s="145" t="s">
        <v>124</v>
      </c>
      <c r="D10" s="107">
        <v>20</v>
      </c>
      <c r="E10" s="168">
        <v>20</v>
      </c>
      <c r="F10" s="108">
        <f t="shared" si="1"/>
        <v>0</v>
      </c>
      <c r="G10" s="107">
        <v>0</v>
      </c>
      <c r="H10" s="107">
        <v>0</v>
      </c>
      <c r="I10" s="107">
        <f t="shared" si="2"/>
        <v>0</v>
      </c>
      <c r="J10" s="150"/>
      <c r="K10" s="107">
        <f t="shared" si="4"/>
        <v>1.6666666666666667</v>
      </c>
      <c r="L10" s="107">
        <f t="shared" si="5"/>
        <v>-1.6666666666666667</v>
      </c>
      <c r="M10" s="150">
        <f t="shared" si="6"/>
        <v>0</v>
      </c>
      <c r="N10" s="150">
        <f t="shared" si="7"/>
        <v>0</v>
      </c>
      <c r="O10" s="108">
        <v>0</v>
      </c>
      <c r="P10" s="109">
        <f t="shared" si="8"/>
        <v>0</v>
      </c>
      <c r="Q10" s="110"/>
      <c r="R10" s="73"/>
      <c r="S10" s="73"/>
      <c r="T10" s="73"/>
      <c r="U10" s="74"/>
    </row>
    <row r="11" spans="1:32" s="75" customFormat="1" ht="56.25" x14ac:dyDescent="0.25">
      <c r="A11" s="72" t="s">
        <v>102</v>
      </c>
      <c r="B11" s="190" t="s">
        <v>94</v>
      </c>
      <c r="C11" s="59" t="s">
        <v>95</v>
      </c>
      <c r="D11" s="107">
        <v>68</v>
      </c>
      <c r="E11" s="168">
        <v>68</v>
      </c>
      <c r="F11" s="108">
        <f t="shared" si="1"/>
        <v>0.68899999999999995</v>
      </c>
      <c r="G11" s="107">
        <v>0.68899999999999995</v>
      </c>
      <c r="H11" s="107">
        <v>0.6</v>
      </c>
      <c r="I11" s="107">
        <f t="shared" si="2"/>
        <v>8.8999999999999968E-2</v>
      </c>
      <c r="J11" s="150">
        <f t="shared" si="3"/>
        <v>114.83333333333331</v>
      </c>
      <c r="K11" s="107">
        <f t="shared" si="4"/>
        <v>5.666666666666667</v>
      </c>
      <c r="L11" s="107">
        <f t="shared" si="5"/>
        <v>-4.9776666666666669</v>
      </c>
      <c r="M11" s="150">
        <f t="shared" si="6"/>
        <v>12.158823529411764</v>
      </c>
      <c r="N11" s="150">
        <f t="shared" si="7"/>
        <v>1.013235294117647</v>
      </c>
      <c r="O11" s="108">
        <v>0</v>
      </c>
      <c r="P11" s="109">
        <f t="shared" si="8"/>
        <v>0.68899999999999995</v>
      </c>
      <c r="Q11" s="110"/>
    </row>
    <row r="12" spans="1:32" s="75" customFormat="1" ht="37.5" x14ac:dyDescent="0.25">
      <c r="A12" s="72" t="s">
        <v>103</v>
      </c>
      <c r="B12" s="190" t="s">
        <v>121</v>
      </c>
      <c r="C12" s="59" t="s">
        <v>98</v>
      </c>
      <c r="D12" s="107">
        <v>135</v>
      </c>
      <c r="E12" s="168">
        <v>135</v>
      </c>
      <c r="F12" s="108">
        <f t="shared" si="1"/>
        <v>3.0270000000000001</v>
      </c>
      <c r="G12" s="107">
        <v>3.0270000000000001</v>
      </c>
      <c r="H12" s="107">
        <v>3</v>
      </c>
      <c r="I12" s="107">
        <f t="shared" si="2"/>
        <v>2.7000000000000135E-2</v>
      </c>
      <c r="J12" s="150">
        <f t="shared" si="3"/>
        <v>100.9</v>
      </c>
      <c r="K12" s="107">
        <f t="shared" si="4"/>
        <v>11.25</v>
      </c>
      <c r="L12" s="107">
        <f t="shared" si="5"/>
        <v>-8.222999999999999</v>
      </c>
      <c r="M12" s="150">
        <f t="shared" si="6"/>
        <v>26.906666666666666</v>
      </c>
      <c r="N12" s="150">
        <f t="shared" si="7"/>
        <v>2.2422222222222223</v>
      </c>
      <c r="O12" s="108">
        <v>2.2410000000000001</v>
      </c>
      <c r="P12" s="109">
        <f t="shared" si="8"/>
        <v>0.78600000000000003</v>
      </c>
      <c r="Q12" s="110">
        <f t="shared" si="9"/>
        <v>135.07362784471218</v>
      </c>
    </row>
    <row r="13" spans="1:32" s="75" customFormat="1" ht="37.5" x14ac:dyDescent="0.25">
      <c r="A13" s="72" t="s">
        <v>125</v>
      </c>
      <c r="B13" s="190" t="s">
        <v>120</v>
      </c>
      <c r="C13" s="59" t="s">
        <v>119</v>
      </c>
      <c r="D13" s="107">
        <v>15</v>
      </c>
      <c r="E13" s="168">
        <v>15</v>
      </c>
      <c r="F13" s="108">
        <f t="shared" si="1"/>
        <v>0</v>
      </c>
      <c r="G13" s="107">
        <v>0</v>
      </c>
      <c r="H13" s="107">
        <v>0</v>
      </c>
      <c r="I13" s="107">
        <f t="shared" si="2"/>
        <v>0</v>
      </c>
      <c r="J13" s="150"/>
      <c r="K13" s="107">
        <f t="shared" si="4"/>
        <v>1.25</v>
      </c>
      <c r="L13" s="107">
        <f t="shared" si="5"/>
        <v>-1.25</v>
      </c>
      <c r="M13" s="150">
        <f t="shared" si="6"/>
        <v>0</v>
      </c>
      <c r="N13" s="150">
        <f t="shared" si="7"/>
        <v>0</v>
      </c>
      <c r="O13" s="108">
        <v>150.68700000000001</v>
      </c>
      <c r="P13" s="109">
        <f t="shared" si="8"/>
        <v>-150.68700000000001</v>
      </c>
      <c r="Q13" s="110">
        <f t="shared" si="9"/>
        <v>0</v>
      </c>
    </row>
    <row r="14" spans="1:32" s="71" customFormat="1" ht="33" customHeight="1" x14ac:dyDescent="0.25">
      <c r="A14" s="67">
        <v>4</v>
      </c>
      <c r="B14" s="191" t="s">
        <v>84</v>
      </c>
      <c r="C14" s="89" t="s">
        <v>83</v>
      </c>
      <c r="D14" s="103">
        <f>D15+D18</f>
        <v>720700</v>
      </c>
      <c r="E14" s="164">
        <f>E15+E18</f>
        <v>720700</v>
      </c>
      <c r="F14" s="104">
        <f t="shared" si="1"/>
        <v>64659.467000000004</v>
      </c>
      <c r="G14" s="103">
        <f t="shared" ref="G14:H14" si="12">G15+G18</f>
        <v>64659.467000000004</v>
      </c>
      <c r="H14" s="103">
        <f t="shared" si="12"/>
        <v>60820</v>
      </c>
      <c r="I14" s="103">
        <f t="shared" si="2"/>
        <v>3839.4670000000042</v>
      </c>
      <c r="J14" s="149">
        <f t="shared" si="3"/>
        <v>106.31283623807958</v>
      </c>
      <c r="K14" s="103">
        <f t="shared" si="4"/>
        <v>60058.333333333336</v>
      </c>
      <c r="L14" s="103">
        <f t="shared" si="5"/>
        <v>4601.1336666666684</v>
      </c>
      <c r="M14" s="149">
        <f t="shared" si="6"/>
        <v>107.66110781184959</v>
      </c>
      <c r="N14" s="149">
        <f t="shared" si="7"/>
        <v>8.9717589843208003</v>
      </c>
      <c r="O14" s="165">
        <f t="shared" ref="O14" si="13">O15+O18</f>
        <v>49167.967000000004</v>
      </c>
      <c r="P14" s="105">
        <f t="shared" si="8"/>
        <v>15491.5</v>
      </c>
      <c r="Q14" s="106">
        <f t="shared" ref="Q14:Q20" si="14">F14/O14*100</f>
        <v>131.50730230517766</v>
      </c>
    </row>
    <row r="15" spans="1:32" s="75" customFormat="1" ht="37.5" x14ac:dyDescent="0.25">
      <c r="A15" s="72" t="s">
        <v>115</v>
      </c>
      <c r="B15" s="190" t="s">
        <v>148</v>
      </c>
      <c r="C15" s="202" t="s">
        <v>154</v>
      </c>
      <c r="D15" s="107">
        <f>SUM(D16:D17)</f>
        <v>306500</v>
      </c>
      <c r="E15" s="168">
        <f>SUM(E16:E17)</f>
        <v>306500</v>
      </c>
      <c r="F15" s="108">
        <f t="shared" si="1"/>
        <v>25963.946</v>
      </c>
      <c r="G15" s="107">
        <f t="shared" ref="G15:H15" si="15">SUM(G16:G17)</f>
        <v>25963.946</v>
      </c>
      <c r="H15" s="107">
        <f t="shared" si="15"/>
        <v>24920</v>
      </c>
      <c r="I15" s="107">
        <f t="shared" si="2"/>
        <v>1043.9459999999999</v>
      </c>
      <c r="J15" s="150">
        <f t="shared" si="3"/>
        <v>104.18918940609952</v>
      </c>
      <c r="K15" s="107">
        <f t="shared" si="4"/>
        <v>25541.666666666668</v>
      </c>
      <c r="L15" s="107">
        <f t="shared" si="5"/>
        <v>422.27933333333203</v>
      </c>
      <c r="M15" s="150">
        <f t="shared" si="6"/>
        <v>101.65329592169657</v>
      </c>
      <c r="N15" s="150">
        <f t="shared" si="7"/>
        <v>8.4711079934747158</v>
      </c>
      <c r="O15" s="108">
        <f t="shared" ref="O15" si="16">SUM(O16:O17)</f>
        <v>17009.100999999999</v>
      </c>
      <c r="P15" s="109">
        <f t="shared" si="8"/>
        <v>8954.8450000000012</v>
      </c>
      <c r="Q15" s="110">
        <f t="shared" si="14"/>
        <v>152.64737389706841</v>
      </c>
    </row>
    <row r="16" spans="1:32" s="75" customFormat="1" ht="29.25" customHeight="1" x14ac:dyDescent="0.25">
      <c r="A16" s="72" t="s">
        <v>144</v>
      </c>
      <c r="B16" s="190" t="s">
        <v>88</v>
      </c>
      <c r="C16" s="202"/>
      <c r="D16" s="107">
        <v>28500</v>
      </c>
      <c r="E16" s="168">
        <v>28500</v>
      </c>
      <c r="F16" s="108">
        <f t="shared" si="1"/>
        <v>1204.829</v>
      </c>
      <c r="G16" s="107">
        <v>1204.829</v>
      </c>
      <c r="H16" s="107">
        <v>1120</v>
      </c>
      <c r="I16" s="107">
        <f t="shared" si="2"/>
        <v>84.828999999999951</v>
      </c>
      <c r="J16" s="150">
        <f t="shared" si="3"/>
        <v>107.57401785714285</v>
      </c>
      <c r="K16" s="107">
        <f t="shared" si="4"/>
        <v>2375</v>
      </c>
      <c r="L16" s="107">
        <f t="shared" si="5"/>
        <v>-1170.171</v>
      </c>
      <c r="M16" s="150">
        <f t="shared" si="6"/>
        <v>50.729642105263153</v>
      </c>
      <c r="N16" s="150">
        <f t="shared" si="7"/>
        <v>4.2274701754385964</v>
      </c>
      <c r="O16" s="108">
        <v>3212.11</v>
      </c>
      <c r="P16" s="109">
        <f t="shared" si="8"/>
        <v>-2007.2810000000002</v>
      </c>
      <c r="Q16" s="110">
        <f t="shared" si="14"/>
        <v>37.508958285986466</v>
      </c>
      <c r="R16" s="73">
        <f>O16+O17</f>
        <v>17009.100999999999</v>
      </c>
      <c r="S16" s="73">
        <f>F16+F17</f>
        <v>25963.946</v>
      </c>
    </row>
    <row r="17" spans="1:20" s="75" customFormat="1" ht="37.5" x14ac:dyDescent="0.25">
      <c r="A17" s="72" t="s">
        <v>145</v>
      </c>
      <c r="B17" s="190" t="s">
        <v>89</v>
      </c>
      <c r="C17" s="202"/>
      <c r="D17" s="107">
        <v>278000</v>
      </c>
      <c r="E17" s="168">
        <v>278000</v>
      </c>
      <c r="F17" s="108">
        <f t="shared" si="1"/>
        <v>24759.116999999998</v>
      </c>
      <c r="G17" s="107">
        <v>24759.116999999998</v>
      </c>
      <c r="H17" s="107">
        <v>23800</v>
      </c>
      <c r="I17" s="107">
        <f t="shared" si="2"/>
        <v>959.11699999999837</v>
      </c>
      <c r="J17" s="150">
        <f t="shared" si="3"/>
        <v>104.02990336134452</v>
      </c>
      <c r="K17" s="107">
        <f t="shared" si="4"/>
        <v>23166.666666666668</v>
      </c>
      <c r="L17" s="107">
        <f t="shared" si="5"/>
        <v>1592.4503333333305</v>
      </c>
      <c r="M17" s="150">
        <f t="shared" si="6"/>
        <v>106.87388633093524</v>
      </c>
      <c r="N17" s="150">
        <f t="shared" si="7"/>
        <v>8.9061571942446047</v>
      </c>
      <c r="O17" s="108">
        <v>13796.991</v>
      </c>
      <c r="P17" s="109">
        <f t="shared" si="8"/>
        <v>10962.125999999998</v>
      </c>
      <c r="Q17" s="110">
        <f t="shared" si="14"/>
        <v>179.45301986498359</v>
      </c>
    </row>
    <row r="18" spans="1:20" s="75" customFormat="1" ht="37.5" x14ac:dyDescent="0.25">
      <c r="A18" s="72" t="s">
        <v>116</v>
      </c>
      <c r="B18" s="190" t="s">
        <v>90</v>
      </c>
      <c r="C18" s="59" t="s">
        <v>56</v>
      </c>
      <c r="D18" s="107">
        <f t="shared" ref="D18:E18" si="17">SUM(D19:D20)</f>
        <v>414200</v>
      </c>
      <c r="E18" s="168">
        <f t="shared" si="17"/>
        <v>414200</v>
      </c>
      <c r="F18" s="108">
        <f t="shared" si="1"/>
        <v>38695.521000000001</v>
      </c>
      <c r="G18" s="107">
        <f t="shared" ref="G18:H18" si="18">SUM(G19:G20)</f>
        <v>38695.521000000001</v>
      </c>
      <c r="H18" s="107">
        <f t="shared" si="18"/>
        <v>35900</v>
      </c>
      <c r="I18" s="107">
        <f t="shared" si="2"/>
        <v>2795.5210000000006</v>
      </c>
      <c r="J18" s="150">
        <f t="shared" si="3"/>
        <v>107.78696657381617</v>
      </c>
      <c r="K18" s="107">
        <f t="shared" si="4"/>
        <v>34516.666666666664</v>
      </c>
      <c r="L18" s="107">
        <f t="shared" si="5"/>
        <v>4178.8543333333364</v>
      </c>
      <c r="M18" s="150">
        <f t="shared" si="6"/>
        <v>112.10677257363592</v>
      </c>
      <c r="N18" s="150">
        <f t="shared" si="7"/>
        <v>9.3422310478029935</v>
      </c>
      <c r="O18" s="108">
        <f t="shared" ref="O18" si="19">SUM(O19:O20)</f>
        <v>32158.866000000002</v>
      </c>
      <c r="P18" s="109">
        <f t="shared" si="8"/>
        <v>6536.6549999999988</v>
      </c>
      <c r="Q18" s="110">
        <f t="shared" si="14"/>
        <v>120.3261364999624</v>
      </c>
    </row>
    <row r="19" spans="1:20" s="75" customFormat="1" ht="84" customHeight="1" x14ac:dyDescent="0.25">
      <c r="A19" s="72" t="s">
        <v>146</v>
      </c>
      <c r="B19" s="190" t="s">
        <v>130</v>
      </c>
      <c r="C19" s="59">
        <v>14040100</v>
      </c>
      <c r="D19" s="107">
        <v>256000</v>
      </c>
      <c r="E19" s="168">
        <v>256000</v>
      </c>
      <c r="F19" s="108">
        <f t="shared" si="1"/>
        <v>23061.749</v>
      </c>
      <c r="G19" s="107">
        <v>23061.749</v>
      </c>
      <c r="H19" s="107">
        <v>23000</v>
      </c>
      <c r="I19" s="107">
        <f t="shared" si="2"/>
        <v>61.748999999999796</v>
      </c>
      <c r="J19" s="150">
        <f t="shared" si="3"/>
        <v>100.26847391304348</v>
      </c>
      <c r="K19" s="107">
        <f t="shared" si="4"/>
        <v>21333.333333333332</v>
      </c>
      <c r="L19" s="107">
        <f t="shared" si="5"/>
        <v>1728.4156666666677</v>
      </c>
      <c r="M19" s="150">
        <f t="shared" si="6"/>
        <v>108.1019484375</v>
      </c>
      <c r="N19" s="150">
        <f t="shared" si="7"/>
        <v>9.0084957031249999</v>
      </c>
      <c r="O19" s="108">
        <v>18500.769</v>
      </c>
      <c r="P19" s="109">
        <f t="shared" si="8"/>
        <v>4560.9799999999996</v>
      </c>
      <c r="Q19" s="110">
        <f t="shared" si="14"/>
        <v>124.65292118397888</v>
      </c>
    </row>
    <row r="20" spans="1:20" s="75" customFormat="1" ht="65.25" customHeight="1" x14ac:dyDescent="0.25">
      <c r="A20" s="72" t="s">
        <v>147</v>
      </c>
      <c r="B20" s="190" t="s">
        <v>131</v>
      </c>
      <c r="C20" s="59">
        <v>14040200</v>
      </c>
      <c r="D20" s="107">
        <v>158200</v>
      </c>
      <c r="E20" s="168">
        <v>158200</v>
      </c>
      <c r="F20" s="108">
        <f t="shared" si="1"/>
        <v>15633.772000000001</v>
      </c>
      <c r="G20" s="107">
        <v>15633.772000000001</v>
      </c>
      <c r="H20" s="107">
        <v>12900</v>
      </c>
      <c r="I20" s="107">
        <f t="shared" si="2"/>
        <v>2733.7720000000008</v>
      </c>
      <c r="J20" s="150">
        <f t="shared" si="3"/>
        <v>121.19203100775195</v>
      </c>
      <c r="K20" s="107">
        <f t="shared" si="4"/>
        <v>13183.333333333334</v>
      </c>
      <c r="L20" s="107">
        <f t="shared" si="5"/>
        <v>2450.4386666666669</v>
      </c>
      <c r="M20" s="150">
        <f t="shared" si="6"/>
        <v>118.5873982300885</v>
      </c>
      <c r="N20" s="150">
        <f t="shared" si="7"/>
        <v>9.8822831858407074</v>
      </c>
      <c r="O20" s="108">
        <v>13658.097</v>
      </c>
      <c r="P20" s="109">
        <f t="shared" si="8"/>
        <v>1975.6750000000011</v>
      </c>
      <c r="Q20" s="110">
        <f t="shared" si="14"/>
        <v>114.46522894075216</v>
      </c>
    </row>
    <row r="21" spans="1:20" s="93" customFormat="1" ht="23.25" hidden="1" customHeight="1" x14ac:dyDescent="0.25">
      <c r="A21" s="67">
        <v>5</v>
      </c>
      <c r="B21" s="189" t="s">
        <v>132</v>
      </c>
      <c r="C21" s="68" t="s">
        <v>133</v>
      </c>
      <c r="D21" s="103">
        <v>0</v>
      </c>
      <c r="E21" s="164">
        <v>0</v>
      </c>
      <c r="F21" s="104">
        <f t="shared" si="1"/>
        <v>0</v>
      </c>
      <c r="G21" s="103">
        <v>0</v>
      </c>
      <c r="H21" s="103"/>
      <c r="I21" s="103">
        <f t="shared" si="2"/>
        <v>0</v>
      </c>
      <c r="J21" s="149"/>
      <c r="K21" s="103">
        <f t="shared" si="4"/>
        <v>0</v>
      </c>
      <c r="L21" s="103">
        <f t="shared" si="5"/>
        <v>0</v>
      </c>
      <c r="M21" s="149"/>
      <c r="N21" s="149"/>
      <c r="O21" s="165">
        <v>0</v>
      </c>
      <c r="P21" s="105">
        <f t="shared" si="8"/>
        <v>0</v>
      </c>
      <c r="Q21" s="106"/>
      <c r="R21" s="124"/>
      <c r="S21" s="124"/>
    </row>
    <row r="22" spans="1:20" s="93" customFormat="1" ht="37.5" x14ac:dyDescent="0.25">
      <c r="A22" s="67">
        <v>5</v>
      </c>
      <c r="B22" s="189" t="s">
        <v>129</v>
      </c>
      <c r="C22" s="68" t="s">
        <v>38</v>
      </c>
      <c r="D22" s="103">
        <f>D23+D24+D25+D27+D26</f>
        <v>1985135</v>
      </c>
      <c r="E22" s="164">
        <f>E23+E24+E25+E27+E26</f>
        <v>1985135</v>
      </c>
      <c r="F22" s="104">
        <f t="shared" si="1"/>
        <v>200072.26499999998</v>
      </c>
      <c r="G22" s="103">
        <f t="shared" ref="G22:H22" si="20">G23+G24+G25+G27+G26</f>
        <v>200072.26499999998</v>
      </c>
      <c r="H22" s="103">
        <f t="shared" si="20"/>
        <v>179116</v>
      </c>
      <c r="I22" s="103">
        <f t="shared" si="2"/>
        <v>20956.264999999985</v>
      </c>
      <c r="J22" s="149">
        <f t="shared" si="3"/>
        <v>111.6998286026932</v>
      </c>
      <c r="K22" s="103">
        <f t="shared" si="4"/>
        <v>165427.91666666666</v>
      </c>
      <c r="L22" s="103">
        <f t="shared" si="5"/>
        <v>34644.348333333328</v>
      </c>
      <c r="M22" s="149">
        <f t="shared" si="6"/>
        <v>120.94226236502807</v>
      </c>
      <c r="N22" s="149">
        <f t="shared" si="7"/>
        <v>10.078521863752339</v>
      </c>
      <c r="O22" s="165">
        <f t="shared" ref="O22" si="21">O23+O24+O25+O27+O26</f>
        <v>184303.701</v>
      </c>
      <c r="P22" s="105">
        <f t="shared" si="8"/>
        <v>15768.563999999984</v>
      </c>
      <c r="Q22" s="106">
        <f t="shared" ref="Q22:Q28" si="22">F22/O22*100</f>
        <v>108.55575005517659</v>
      </c>
      <c r="R22" s="124">
        <f>O24+O25+O23</f>
        <v>57912.6</v>
      </c>
      <c r="S22" s="124">
        <f>F23+F24+F25</f>
        <v>69438.811000000002</v>
      </c>
    </row>
    <row r="23" spans="1:20" s="95" customFormat="1" ht="28.5" customHeight="1" x14ac:dyDescent="0.25">
      <c r="A23" s="94" t="s">
        <v>158</v>
      </c>
      <c r="B23" s="192" t="s">
        <v>57</v>
      </c>
      <c r="C23" s="203" t="s">
        <v>44</v>
      </c>
      <c r="D23" s="107">
        <v>266930</v>
      </c>
      <c r="E23" s="168">
        <v>266930</v>
      </c>
      <c r="F23" s="108">
        <f t="shared" si="1"/>
        <v>33334.353000000003</v>
      </c>
      <c r="G23" s="107">
        <v>33334.353000000003</v>
      </c>
      <c r="H23" s="107">
        <v>32270</v>
      </c>
      <c r="I23" s="107">
        <f t="shared" si="2"/>
        <v>1064.3530000000028</v>
      </c>
      <c r="J23" s="150">
        <f t="shared" si="3"/>
        <v>103.29827393864271</v>
      </c>
      <c r="K23" s="107">
        <f t="shared" si="4"/>
        <v>22244.166666666668</v>
      </c>
      <c r="L23" s="107">
        <f t="shared" si="5"/>
        <v>11090.186333333335</v>
      </c>
      <c r="M23" s="150">
        <f t="shared" si="6"/>
        <v>149.85660510246132</v>
      </c>
      <c r="N23" s="150">
        <f t="shared" si="7"/>
        <v>12.48805042520511</v>
      </c>
      <c r="O23" s="108">
        <v>27569.439999999999</v>
      </c>
      <c r="P23" s="109">
        <f t="shared" si="8"/>
        <v>5764.9130000000041</v>
      </c>
      <c r="Q23" s="110">
        <f t="shared" si="22"/>
        <v>120.91051903847161</v>
      </c>
    </row>
    <row r="24" spans="1:20" s="95" customFormat="1" ht="28.5" customHeight="1" x14ac:dyDescent="0.25">
      <c r="A24" s="72" t="s">
        <v>159</v>
      </c>
      <c r="B24" s="192" t="s">
        <v>7</v>
      </c>
      <c r="C24" s="203"/>
      <c r="D24" s="107">
        <v>449450</v>
      </c>
      <c r="E24" s="168">
        <v>449450</v>
      </c>
      <c r="F24" s="108">
        <f t="shared" si="1"/>
        <v>35500.784</v>
      </c>
      <c r="G24" s="107">
        <v>35500.784</v>
      </c>
      <c r="H24" s="107">
        <v>33600</v>
      </c>
      <c r="I24" s="107">
        <f t="shared" si="2"/>
        <v>1900.7839999999997</v>
      </c>
      <c r="J24" s="150">
        <f t="shared" si="3"/>
        <v>105.65709523809524</v>
      </c>
      <c r="K24" s="107">
        <f t="shared" si="4"/>
        <v>37454.166666666664</v>
      </c>
      <c r="L24" s="107">
        <f t="shared" si="5"/>
        <v>-1953.3826666666646</v>
      </c>
      <c r="M24" s="150">
        <f t="shared" si="6"/>
        <v>94.784605184113929</v>
      </c>
      <c r="N24" s="150">
        <f t="shared" si="7"/>
        <v>7.8987170986761601</v>
      </c>
      <c r="O24" s="108">
        <v>29969.288</v>
      </c>
      <c r="P24" s="109">
        <f t="shared" si="8"/>
        <v>5531.4959999999992</v>
      </c>
      <c r="Q24" s="110">
        <f t="shared" si="22"/>
        <v>118.45721526650883</v>
      </c>
    </row>
    <row r="25" spans="1:20" s="95" customFormat="1" ht="28.5" customHeight="1" x14ac:dyDescent="0.25">
      <c r="A25" s="72" t="s">
        <v>160</v>
      </c>
      <c r="B25" s="192" t="s">
        <v>58</v>
      </c>
      <c r="C25" s="203"/>
      <c r="D25" s="107">
        <v>1800</v>
      </c>
      <c r="E25" s="168">
        <v>1800</v>
      </c>
      <c r="F25" s="108">
        <f t="shared" si="1"/>
        <v>603.67399999999998</v>
      </c>
      <c r="G25" s="107">
        <v>603.67399999999998</v>
      </c>
      <c r="H25" s="107">
        <v>574</v>
      </c>
      <c r="I25" s="107">
        <f t="shared" si="2"/>
        <v>29.673999999999978</v>
      </c>
      <c r="J25" s="150">
        <f t="shared" si="3"/>
        <v>105.16968641114983</v>
      </c>
      <c r="K25" s="107">
        <f t="shared" si="4"/>
        <v>150</v>
      </c>
      <c r="L25" s="107">
        <f t="shared" si="5"/>
        <v>453.67399999999998</v>
      </c>
      <c r="M25" s="150">
        <f t="shared" si="6"/>
        <v>402.4493333333333</v>
      </c>
      <c r="N25" s="150">
        <f t="shared" si="7"/>
        <v>33.537444444444439</v>
      </c>
      <c r="O25" s="108">
        <v>373.87200000000001</v>
      </c>
      <c r="P25" s="109">
        <f t="shared" si="8"/>
        <v>229.80199999999996</v>
      </c>
      <c r="Q25" s="110">
        <f t="shared" si="22"/>
        <v>161.46542132066588</v>
      </c>
      <c r="R25" s="110">
        <f>100-Q25</f>
        <v>-61.465421320665882</v>
      </c>
      <c r="S25" s="96"/>
      <c r="T25" s="97" t="e">
        <f>F23/#REF!*100</f>
        <v>#REF!</v>
      </c>
    </row>
    <row r="26" spans="1:20" s="99" customFormat="1" ht="28.5" customHeight="1" x14ac:dyDescent="0.25">
      <c r="A26" s="72" t="s">
        <v>161</v>
      </c>
      <c r="B26" s="192" t="s">
        <v>40</v>
      </c>
      <c r="C26" s="98" t="s">
        <v>39</v>
      </c>
      <c r="D26" s="107">
        <v>3815</v>
      </c>
      <c r="E26" s="168">
        <v>3815</v>
      </c>
      <c r="F26" s="108">
        <f t="shared" si="1"/>
        <v>243.37200000000001</v>
      </c>
      <c r="G26" s="107">
        <v>243.37200000000001</v>
      </c>
      <c r="H26" s="107">
        <v>200</v>
      </c>
      <c r="I26" s="107">
        <f t="shared" si="2"/>
        <v>43.372000000000014</v>
      </c>
      <c r="J26" s="150">
        <f t="shared" si="3"/>
        <v>121.68600000000001</v>
      </c>
      <c r="K26" s="107">
        <f t="shared" si="4"/>
        <v>317.91666666666669</v>
      </c>
      <c r="L26" s="107">
        <f t="shared" si="5"/>
        <v>-74.544666666666672</v>
      </c>
      <c r="M26" s="150">
        <f t="shared" si="6"/>
        <v>76.552136304062913</v>
      </c>
      <c r="N26" s="150">
        <f t="shared" si="7"/>
        <v>6.379344692005243</v>
      </c>
      <c r="O26" s="108">
        <v>336.39499999999998</v>
      </c>
      <c r="P26" s="107">
        <f t="shared" si="8"/>
        <v>-93.022999999999968</v>
      </c>
      <c r="Q26" s="110">
        <f t="shared" si="22"/>
        <v>72.347091960344244</v>
      </c>
    </row>
    <row r="27" spans="1:20" s="95" customFormat="1" ht="28.5" customHeight="1" x14ac:dyDescent="0.25">
      <c r="A27" s="72" t="s">
        <v>162</v>
      </c>
      <c r="B27" s="192" t="s">
        <v>33</v>
      </c>
      <c r="C27" s="144" t="s">
        <v>34</v>
      </c>
      <c r="D27" s="107">
        <v>1263140</v>
      </c>
      <c r="E27" s="168">
        <v>1263140</v>
      </c>
      <c r="F27" s="108">
        <f t="shared" si="1"/>
        <v>130390.08199999999</v>
      </c>
      <c r="G27" s="107">
        <v>130390.08199999999</v>
      </c>
      <c r="H27" s="107">
        <v>112472</v>
      </c>
      <c r="I27" s="107">
        <f t="shared" si="2"/>
        <v>17918.081999999995</v>
      </c>
      <c r="J27" s="150">
        <f t="shared" si="3"/>
        <v>115.93114908599473</v>
      </c>
      <c r="K27" s="107">
        <f t="shared" si="4"/>
        <v>105261.66666666667</v>
      </c>
      <c r="L27" s="107">
        <f t="shared" si="5"/>
        <v>25128.415333333323</v>
      </c>
      <c r="M27" s="150">
        <f t="shared" si="6"/>
        <v>123.87233275804739</v>
      </c>
      <c r="N27" s="150">
        <f t="shared" si="7"/>
        <v>10.32269439650395</v>
      </c>
      <c r="O27" s="108">
        <v>126054.70600000001</v>
      </c>
      <c r="P27" s="109">
        <f t="shared" si="8"/>
        <v>4335.3759999999893</v>
      </c>
      <c r="Q27" s="110">
        <f t="shared" si="22"/>
        <v>103.43928135455727</v>
      </c>
      <c r="S27" s="96"/>
      <c r="T27" s="97" t="e">
        <f>F27/#REF!*100</f>
        <v>#REF!</v>
      </c>
    </row>
    <row r="28" spans="1:20" s="71" customFormat="1" ht="37.5" x14ac:dyDescent="0.25">
      <c r="A28" s="67">
        <v>6</v>
      </c>
      <c r="B28" s="189" t="s">
        <v>46</v>
      </c>
      <c r="C28" s="68" t="s">
        <v>17</v>
      </c>
      <c r="D28" s="103">
        <v>2000</v>
      </c>
      <c r="E28" s="164">
        <v>2000</v>
      </c>
      <c r="F28" s="104">
        <f t="shared" si="1"/>
        <v>0</v>
      </c>
      <c r="G28" s="103">
        <v>0</v>
      </c>
      <c r="H28" s="103">
        <v>0</v>
      </c>
      <c r="I28" s="103">
        <f t="shared" si="2"/>
        <v>0</v>
      </c>
      <c r="J28" s="149"/>
      <c r="K28" s="103">
        <f t="shared" si="4"/>
        <v>166.66666666666666</v>
      </c>
      <c r="L28" s="103">
        <f t="shared" si="5"/>
        <v>-166.66666666666666</v>
      </c>
      <c r="M28" s="149">
        <f t="shared" si="6"/>
        <v>0</v>
      </c>
      <c r="N28" s="149">
        <f t="shared" si="7"/>
        <v>0</v>
      </c>
      <c r="O28" s="165">
        <v>8.9390000000000001</v>
      </c>
      <c r="P28" s="105">
        <f t="shared" si="8"/>
        <v>-8.9390000000000001</v>
      </c>
      <c r="Q28" s="106">
        <f t="shared" si="22"/>
        <v>0</v>
      </c>
      <c r="R28" s="70">
        <f>100-Q28</f>
        <v>100</v>
      </c>
    </row>
    <row r="29" spans="1:20" s="71" customFormat="1" ht="23.25" x14ac:dyDescent="0.25">
      <c r="A29" s="67">
        <f t="shared" ref="A29:A37" si="23">A28+1</f>
        <v>7</v>
      </c>
      <c r="B29" s="189" t="s">
        <v>68</v>
      </c>
      <c r="C29" s="68" t="s">
        <v>67</v>
      </c>
      <c r="D29" s="103">
        <v>23900</v>
      </c>
      <c r="E29" s="164">
        <v>23900</v>
      </c>
      <c r="F29" s="104">
        <f t="shared" si="1"/>
        <v>0</v>
      </c>
      <c r="G29" s="103">
        <v>0</v>
      </c>
      <c r="H29" s="103">
        <v>0</v>
      </c>
      <c r="I29" s="103">
        <f t="shared" si="2"/>
        <v>0</v>
      </c>
      <c r="J29" s="149"/>
      <c r="K29" s="103">
        <f t="shared" si="4"/>
        <v>1991.6666666666667</v>
      </c>
      <c r="L29" s="103">
        <f t="shared" si="5"/>
        <v>-1991.6666666666667</v>
      </c>
      <c r="M29" s="149">
        <f t="shared" si="6"/>
        <v>0</v>
      </c>
      <c r="N29" s="149">
        <f t="shared" si="7"/>
        <v>0</v>
      </c>
      <c r="O29" s="165">
        <v>0</v>
      </c>
      <c r="P29" s="105">
        <f t="shared" si="8"/>
        <v>0</v>
      </c>
      <c r="Q29" s="106"/>
    </row>
    <row r="30" spans="1:20" s="71" customFormat="1" ht="25.5" customHeight="1" x14ac:dyDescent="0.25">
      <c r="A30" s="67">
        <f t="shared" si="23"/>
        <v>8</v>
      </c>
      <c r="B30" s="189" t="s">
        <v>8</v>
      </c>
      <c r="C30" s="68" t="s">
        <v>18</v>
      </c>
      <c r="D30" s="103">
        <v>95</v>
      </c>
      <c r="E30" s="164">
        <v>95</v>
      </c>
      <c r="F30" s="104">
        <f t="shared" si="1"/>
        <v>0</v>
      </c>
      <c r="G30" s="103">
        <v>0</v>
      </c>
      <c r="H30" s="103">
        <v>0</v>
      </c>
      <c r="I30" s="103">
        <f t="shared" si="2"/>
        <v>0</v>
      </c>
      <c r="J30" s="149"/>
      <c r="K30" s="103">
        <f t="shared" si="4"/>
        <v>7.916666666666667</v>
      </c>
      <c r="L30" s="103">
        <f t="shared" si="5"/>
        <v>-7.916666666666667</v>
      </c>
      <c r="M30" s="149">
        <f t="shared" si="6"/>
        <v>0</v>
      </c>
      <c r="N30" s="149">
        <f t="shared" si="7"/>
        <v>0</v>
      </c>
      <c r="O30" s="165">
        <v>0</v>
      </c>
      <c r="P30" s="105">
        <f t="shared" si="8"/>
        <v>0</v>
      </c>
      <c r="Q30" s="106"/>
    </row>
    <row r="31" spans="1:20" s="71" customFormat="1" ht="56.25" x14ac:dyDescent="0.25">
      <c r="A31" s="67">
        <f t="shared" si="23"/>
        <v>9</v>
      </c>
      <c r="B31" s="193" t="s">
        <v>85</v>
      </c>
      <c r="C31" s="90" t="s">
        <v>86</v>
      </c>
      <c r="D31" s="103">
        <v>5</v>
      </c>
      <c r="E31" s="164">
        <v>5</v>
      </c>
      <c r="F31" s="104">
        <f t="shared" si="1"/>
        <v>54.896000000000001</v>
      </c>
      <c r="G31" s="103">
        <v>54.896000000000001</v>
      </c>
      <c r="H31" s="103">
        <v>5</v>
      </c>
      <c r="I31" s="103">
        <f t="shared" si="2"/>
        <v>49.896000000000001</v>
      </c>
      <c r="J31" s="149">
        <f t="shared" si="3"/>
        <v>1097.92</v>
      </c>
      <c r="K31" s="103">
        <f t="shared" si="4"/>
        <v>0.41666666666666669</v>
      </c>
      <c r="L31" s="103">
        <f t="shared" si="5"/>
        <v>54.479333333333336</v>
      </c>
      <c r="M31" s="149">
        <f t="shared" si="6"/>
        <v>13175.039999999999</v>
      </c>
      <c r="N31" s="149">
        <f t="shared" si="7"/>
        <v>1097.92</v>
      </c>
      <c r="O31" s="165">
        <v>0</v>
      </c>
      <c r="P31" s="105">
        <f t="shared" si="8"/>
        <v>54.896000000000001</v>
      </c>
      <c r="Q31" s="106"/>
    </row>
    <row r="32" spans="1:20" s="71" customFormat="1" ht="23.25" x14ac:dyDescent="0.25">
      <c r="A32" s="67">
        <f t="shared" si="23"/>
        <v>10</v>
      </c>
      <c r="B32" s="194" t="s">
        <v>30</v>
      </c>
      <c r="C32" s="68" t="s">
        <v>24</v>
      </c>
      <c r="D32" s="103">
        <v>19500</v>
      </c>
      <c r="E32" s="164">
        <v>19500</v>
      </c>
      <c r="F32" s="104">
        <f t="shared" si="1"/>
        <v>1472.184</v>
      </c>
      <c r="G32" s="103">
        <v>1472.184</v>
      </c>
      <c r="H32" s="103">
        <v>1390</v>
      </c>
      <c r="I32" s="103">
        <f t="shared" si="2"/>
        <v>82.183999999999969</v>
      </c>
      <c r="J32" s="149">
        <f t="shared" si="3"/>
        <v>105.9125179856115</v>
      </c>
      <c r="K32" s="103">
        <f t="shared" si="4"/>
        <v>1625</v>
      </c>
      <c r="L32" s="103">
        <f t="shared" si="5"/>
        <v>-152.81600000000003</v>
      </c>
      <c r="M32" s="149">
        <f t="shared" si="6"/>
        <v>90.595938461538466</v>
      </c>
      <c r="N32" s="149">
        <f t="shared" si="7"/>
        <v>7.5496615384615389</v>
      </c>
      <c r="O32" s="165">
        <v>1260.2539999999999</v>
      </c>
      <c r="P32" s="105">
        <f t="shared" si="8"/>
        <v>211.93000000000006</v>
      </c>
      <c r="Q32" s="106">
        <f>F32/O32*100</f>
        <v>116.8164512868041</v>
      </c>
      <c r="R32" s="70">
        <f>100-Q32</f>
        <v>-16.816451286804096</v>
      </c>
    </row>
    <row r="33" spans="1:21" s="71" customFormat="1" ht="37.5" x14ac:dyDescent="0.25">
      <c r="A33" s="67">
        <f t="shared" si="23"/>
        <v>11</v>
      </c>
      <c r="B33" s="194" t="s">
        <v>78</v>
      </c>
      <c r="C33" s="68" t="s">
        <v>77</v>
      </c>
      <c r="D33" s="103">
        <v>2300</v>
      </c>
      <c r="E33" s="164">
        <v>2300</v>
      </c>
      <c r="F33" s="104">
        <f t="shared" si="1"/>
        <v>64.132999999999996</v>
      </c>
      <c r="G33" s="103">
        <v>64.132999999999996</v>
      </c>
      <c r="H33" s="103">
        <v>64</v>
      </c>
      <c r="I33" s="103">
        <f t="shared" si="2"/>
        <v>0.13299999999999557</v>
      </c>
      <c r="J33" s="173">
        <f t="shared" si="3"/>
        <v>100.20781249999999</v>
      </c>
      <c r="K33" s="103">
        <f t="shared" si="4"/>
        <v>191.66666666666666</v>
      </c>
      <c r="L33" s="103">
        <f t="shared" si="5"/>
        <v>-127.53366666666666</v>
      </c>
      <c r="M33" s="149">
        <f t="shared" si="6"/>
        <v>33.460695652173911</v>
      </c>
      <c r="N33" s="149">
        <f t="shared" si="7"/>
        <v>2.7883913043478259</v>
      </c>
      <c r="O33" s="165">
        <v>100.486</v>
      </c>
      <c r="P33" s="105">
        <f t="shared" si="8"/>
        <v>-36.353000000000009</v>
      </c>
      <c r="Q33" s="106">
        <f>F33/O33*100</f>
        <v>63.822821089504998</v>
      </c>
    </row>
    <row r="34" spans="1:21" s="71" customFormat="1" ht="23.25" x14ac:dyDescent="0.25">
      <c r="A34" s="67">
        <f t="shared" si="23"/>
        <v>12</v>
      </c>
      <c r="B34" s="194" t="s">
        <v>104</v>
      </c>
      <c r="C34" s="68" t="s">
        <v>105</v>
      </c>
      <c r="D34" s="103">
        <v>25000</v>
      </c>
      <c r="E34" s="164">
        <v>25000</v>
      </c>
      <c r="F34" s="104">
        <f t="shared" si="1"/>
        <v>2369.2840000000001</v>
      </c>
      <c r="G34" s="103">
        <v>2369.2840000000001</v>
      </c>
      <c r="H34" s="103">
        <v>1900</v>
      </c>
      <c r="I34" s="103">
        <f t="shared" si="2"/>
        <v>469.28400000000011</v>
      </c>
      <c r="J34" s="149">
        <f t="shared" si="3"/>
        <v>124.69915789473684</v>
      </c>
      <c r="K34" s="103">
        <f t="shared" si="4"/>
        <v>2083.3333333333335</v>
      </c>
      <c r="L34" s="103">
        <f t="shared" si="5"/>
        <v>285.95066666666662</v>
      </c>
      <c r="M34" s="149">
        <f t="shared" si="6"/>
        <v>113.72563199999999</v>
      </c>
      <c r="N34" s="149">
        <f t="shared" si="7"/>
        <v>9.4771359999999998</v>
      </c>
      <c r="O34" s="165">
        <v>1872.931</v>
      </c>
      <c r="P34" s="105">
        <f t="shared" si="8"/>
        <v>496.35300000000007</v>
      </c>
      <c r="Q34" s="106">
        <f>F34/O34*100</f>
        <v>126.50140341528866</v>
      </c>
    </row>
    <row r="35" spans="1:21" s="71" customFormat="1" ht="37.5" x14ac:dyDescent="0.25">
      <c r="A35" s="67">
        <f>A34+1</f>
        <v>13</v>
      </c>
      <c r="B35" s="194" t="s">
        <v>135</v>
      </c>
      <c r="C35" s="68" t="s">
        <v>134</v>
      </c>
      <c r="D35" s="103">
        <v>1500</v>
      </c>
      <c r="E35" s="164">
        <v>1500</v>
      </c>
      <c r="F35" s="104">
        <f t="shared" si="1"/>
        <v>62.843000000000004</v>
      </c>
      <c r="G35" s="103">
        <v>62.843000000000004</v>
      </c>
      <c r="H35" s="103">
        <v>60</v>
      </c>
      <c r="I35" s="103">
        <f t="shared" si="2"/>
        <v>2.8430000000000035</v>
      </c>
      <c r="J35" s="149">
        <f t="shared" si="3"/>
        <v>104.73833333333333</v>
      </c>
      <c r="K35" s="103">
        <f t="shared" si="4"/>
        <v>125</v>
      </c>
      <c r="L35" s="103">
        <f t="shared" si="5"/>
        <v>-62.156999999999996</v>
      </c>
      <c r="M35" s="149">
        <f t="shared" si="6"/>
        <v>50.274400000000007</v>
      </c>
      <c r="N35" s="149">
        <f t="shared" si="7"/>
        <v>4.1895333333333333</v>
      </c>
      <c r="O35" s="165">
        <v>132.905</v>
      </c>
      <c r="P35" s="105">
        <f t="shared" si="8"/>
        <v>-70.061999999999998</v>
      </c>
      <c r="Q35" s="167">
        <f>F35/O35*100</f>
        <v>47.284150332944584</v>
      </c>
    </row>
    <row r="36" spans="1:21" s="71" customFormat="1" ht="56.25" x14ac:dyDescent="0.25">
      <c r="A36" s="67">
        <f t="shared" si="23"/>
        <v>14</v>
      </c>
      <c r="B36" s="194" t="s">
        <v>126</v>
      </c>
      <c r="C36" s="68" t="s">
        <v>127</v>
      </c>
      <c r="D36" s="103">
        <v>70</v>
      </c>
      <c r="E36" s="164">
        <v>70</v>
      </c>
      <c r="F36" s="104">
        <f t="shared" si="1"/>
        <v>0</v>
      </c>
      <c r="G36" s="103">
        <v>0</v>
      </c>
      <c r="H36" s="103">
        <v>0</v>
      </c>
      <c r="I36" s="103">
        <f t="shared" si="2"/>
        <v>0</v>
      </c>
      <c r="J36" s="149"/>
      <c r="K36" s="103">
        <f t="shared" si="4"/>
        <v>5.833333333333333</v>
      </c>
      <c r="L36" s="103">
        <f t="shared" si="5"/>
        <v>-5.833333333333333</v>
      </c>
      <c r="M36" s="149">
        <f t="shared" si="6"/>
        <v>0</v>
      </c>
      <c r="N36" s="149">
        <f t="shared" si="7"/>
        <v>0</v>
      </c>
      <c r="O36" s="165">
        <v>2.31</v>
      </c>
      <c r="P36" s="105">
        <f t="shared" si="8"/>
        <v>-2.31</v>
      </c>
      <c r="Q36" s="106">
        <f t="shared" ref="Q36:Q44" si="24">F36/O36*100</f>
        <v>0</v>
      </c>
    </row>
    <row r="37" spans="1:21" s="71" customFormat="1" ht="34.5" customHeight="1" x14ac:dyDescent="0.25">
      <c r="A37" s="67">
        <f t="shared" si="23"/>
        <v>15</v>
      </c>
      <c r="B37" s="194" t="s">
        <v>80</v>
      </c>
      <c r="C37" s="68" t="s">
        <v>79</v>
      </c>
      <c r="D37" s="103">
        <f>SUM(D38:D41)</f>
        <v>53583</v>
      </c>
      <c r="E37" s="164">
        <f>SUM(E38:E41)</f>
        <v>53583</v>
      </c>
      <c r="F37" s="104">
        <f t="shared" si="1"/>
        <v>2691.8270000000002</v>
      </c>
      <c r="G37" s="103">
        <v>2691.8270000000002</v>
      </c>
      <c r="H37" s="103">
        <v>2589</v>
      </c>
      <c r="I37" s="103">
        <f t="shared" si="2"/>
        <v>102.82700000000023</v>
      </c>
      <c r="J37" s="149">
        <f t="shared" si="3"/>
        <v>103.97168791039013</v>
      </c>
      <c r="K37" s="103">
        <f t="shared" si="4"/>
        <v>4465.25</v>
      </c>
      <c r="L37" s="103">
        <f t="shared" si="5"/>
        <v>-1773.4229999999998</v>
      </c>
      <c r="M37" s="149">
        <f t="shared" si="6"/>
        <v>60.283903476849012</v>
      </c>
      <c r="N37" s="149">
        <f t="shared" si="7"/>
        <v>5.0236586230707498</v>
      </c>
      <c r="O37" s="165">
        <f t="shared" ref="O37" si="25">SUM(O38:O41)</f>
        <v>3851.0220000000004</v>
      </c>
      <c r="P37" s="105">
        <f t="shared" si="8"/>
        <v>-1159.1950000000002</v>
      </c>
      <c r="Q37" s="106">
        <f t="shared" si="24"/>
        <v>69.899029400507189</v>
      </c>
    </row>
    <row r="38" spans="1:21" s="75" customFormat="1" ht="37.5" x14ac:dyDescent="0.25">
      <c r="A38" s="72" t="s">
        <v>163</v>
      </c>
      <c r="B38" s="195" t="s">
        <v>72</v>
      </c>
      <c r="C38" s="144" t="s">
        <v>71</v>
      </c>
      <c r="D38" s="107">
        <v>1550</v>
      </c>
      <c r="E38" s="168">
        <v>1550</v>
      </c>
      <c r="F38" s="108">
        <f t="shared" si="1"/>
        <v>115.52500000000001</v>
      </c>
      <c r="G38" s="107">
        <v>115.52500000000001</v>
      </c>
      <c r="H38" s="107">
        <v>100</v>
      </c>
      <c r="I38" s="107">
        <f t="shared" si="2"/>
        <v>15.525000000000006</v>
      </c>
      <c r="J38" s="150">
        <f t="shared" si="3"/>
        <v>115.52500000000001</v>
      </c>
      <c r="K38" s="107">
        <f t="shared" si="4"/>
        <v>129.16666666666666</v>
      </c>
      <c r="L38" s="107">
        <f t="shared" si="5"/>
        <v>-13.641666666666652</v>
      </c>
      <c r="M38" s="150">
        <f t="shared" si="6"/>
        <v>89.438709677419368</v>
      </c>
      <c r="N38" s="150">
        <f t="shared" si="7"/>
        <v>7.4532258064516128</v>
      </c>
      <c r="O38" s="108">
        <v>105.012</v>
      </c>
      <c r="P38" s="109">
        <f t="shared" si="8"/>
        <v>10.513000000000005</v>
      </c>
      <c r="Q38" s="110">
        <f t="shared" si="24"/>
        <v>110.01123681103113</v>
      </c>
      <c r="R38" s="110">
        <f>Q38-100</f>
        <v>10.011236811031125</v>
      </c>
      <c r="S38" s="73"/>
    </row>
    <row r="39" spans="1:21" s="75" customFormat="1" ht="32.25" customHeight="1" x14ac:dyDescent="0.25">
      <c r="A39" s="72" t="s">
        <v>164</v>
      </c>
      <c r="B39" s="196" t="s">
        <v>59</v>
      </c>
      <c r="C39" s="59" t="s">
        <v>60</v>
      </c>
      <c r="D39" s="107">
        <v>51000</v>
      </c>
      <c r="E39" s="168">
        <v>51000</v>
      </c>
      <c r="F39" s="108">
        <f t="shared" si="1"/>
        <v>2480.1179999999999</v>
      </c>
      <c r="G39" s="107">
        <v>2480.1179999999999</v>
      </c>
      <c r="H39" s="107">
        <v>2400</v>
      </c>
      <c r="I39" s="107">
        <f t="shared" si="2"/>
        <v>80.117999999999938</v>
      </c>
      <c r="J39" s="150">
        <f t="shared" si="3"/>
        <v>103.33824999999999</v>
      </c>
      <c r="K39" s="107">
        <f t="shared" si="4"/>
        <v>4250</v>
      </c>
      <c r="L39" s="107">
        <f t="shared" si="5"/>
        <v>-1769.8820000000001</v>
      </c>
      <c r="M39" s="150">
        <f t="shared" si="6"/>
        <v>58.355717647058825</v>
      </c>
      <c r="N39" s="150">
        <f t="shared" si="7"/>
        <v>4.8629764705882348</v>
      </c>
      <c r="O39" s="108">
        <v>3685.09</v>
      </c>
      <c r="P39" s="109">
        <f t="shared" si="8"/>
        <v>-1204.9720000000002</v>
      </c>
      <c r="Q39" s="110">
        <f t="shared" si="24"/>
        <v>67.301422760366762</v>
      </c>
      <c r="R39" s="110">
        <f>Q39-100</f>
        <v>-32.698577239633238</v>
      </c>
      <c r="S39" s="74"/>
    </row>
    <row r="40" spans="1:21" s="75" customFormat="1" ht="37.5" x14ac:dyDescent="0.25">
      <c r="A40" s="72" t="s">
        <v>165</v>
      </c>
      <c r="B40" s="196" t="s">
        <v>76</v>
      </c>
      <c r="C40" s="59" t="s">
        <v>73</v>
      </c>
      <c r="D40" s="107">
        <v>910</v>
      </c>
      <c r="E40" s="168">
        <v>910</v>
      </c>
      <c r="F40" s="108">
        <f t="shared" ref="F40:F66" si="26">SUM(G40:G40)</f>
        <v>86.853999999999999</v>
      </c>
      <c r="G40" s="107">
        <v>86.853999999999999</v>
      </c>
      <c r="H40" s="107">
        <v>80</v>
      </c>
      <c r="I40" s="107">
        <f t="shared" si="2"/>
        <v>6.8539999999999992</v>
      </c>
      <c r="J40" s="150">
        <f t="shared" si="3"/>
        <v>108.5675</v>
      </c>
      <c r="K40" s="107">
        <f t="shared" si="4"/>
        <v>75.833333333333329</v>
      </c>
      <c r="L40" s="107">
        <f t="shared" si="5"/>
        <v>11.020666666666671</v>
      </c>
      <c r="M40" s="150">
        <f t="shared" si="6"/>
        <v>114.53274725274727</v>
      </c>
      <c r="N40" s="150">
        <f t="shared" si="7"/>
        <v>9.5443956043956035</v>
      </c>
      <c r="O40" s="108">
        <v>51.84</v>
      </c>
      <c r="P40" s="109">
        <f t="shared" ref="P40:P66" si="27">F40-O40</f>
        <v>35.013999999999996</v>
      </c>
      <c r="Q40" s="110">
        <f t="shared" si="24"/>
        <v>167.54243827160494</v>
      </c>
    </row>
    <row r="41" spans="1:21" s="75" customFormat="1" ht="75" customHeight="1" x14ac:dyDescent="0.25">
      <c r="A41" s="72" t="s">
        <v>166</v>
      </c>
      <c r="B41" s="197" t="s">
        <v>75</v>
      </c>
      <c r="C41" s="59" t="s">
        <v>74</v>
      </c>
      <c r="D41" s="107">
        <v>123</v>
      </c>
      <c r="E41" s="168">
        <v>123</v>
      </c>
      <c r="F41" s="108">
        <f t="shared" si="26"/>
        <v>9.33</v>
      </c>
      <c r="G41" s="107">
        <v>9.33</v>
      </c>
      <c r="H41" s="107">
        <v>9</v>
      </c>
      <c r="I41" s="107">
        <f t="shared" si="2"/>
        <v>0.33000000000000007</v>
      </c>
      <c r="J41" s="150">
        <f t="shared" si="3"/>
        <v>103.66666666666666</v>
      </c>
      <c r="K41" s="107">
        <f t="shared" si="4"/>
        <v>10.25</v>
      </c>
      <c r="L41" s="107">
        <f t="shared" si="5"/>
        <v>-0.91999999999999993</v>
      </c>
      <c r="M41" s="150">
        <f t="shared" si="6"/>
        <v>91.024390243902445</v>
      </c>
      <c r="N41" s="150">
        <f t="shared" si="7"/>
        <v>7.5853658536585362</v>
      </c>
      <c r="O41" s="108">
        <v>9.08</v>
      </c>
      <c r="P41" s="109">
        <f t="shared" si="27"/>
        <v>0.25</v>
      </c>
      <c r="Q41" s="110">
        <f t="shared" si="24"/>
        <v>102.75330396475771</v>
      </c>
    </row>
    <row r="42" spans="1:21" s="163" customFormat="1" ht="37.5" x14ac:dyDescent="0.25">
      <c r="A42" s="161">
        <v>16</v>
      </c>
      <c r="B42" s="193" t="s">
        <v>170</v>
      </c>
      <c r="C42" s="162" t="s">
        <v>171</v>
      </c>
      <c r="D42" s="164">
        <v>7035</v>
      </c>
      <c r="E42" s="164">
        <v>7035</v>
      </c>
      <c r="F42" s="165"/>
      <c r="G42" s="164">
        <v>0</v>
      </c>
      <c r="H42" s="164">
        <v>0</v>
      </c>
      <c r="I42" s="164"/>
      <c r="J42" s="173"/>
      <c r="K42" s="164">
        <f t="shared" si="4"/>
        <v>586.25</v>
      </c>
      <c r="L42" s="168">
        <f t="shared" ref="L42" si="28">F42-K42</f>
        <v>-586.25</v>
      </c>
      <c r="M42" s="150">
        <f t="shared" ref="M42" si="29">F42/K42*100</f>
        <v>0</v>
      </c>
      <c r="N42" s="150">
        <f t="shared" ref="N42" si="30">F42/E42*100</f>
        <v>0</v>
      </c>
      <c r="O42" s="165">
        <v>0</v>
      </c>
      <c r="P42" s="109">
        <f t="shared" si="27"/>
        <v>0</v>
      </c>
      <c r="Q42" s="110"/>
    </row>
    <row r="43" spans="1:21" s="71" customFormat="1" ht="37.5" x14ac:dyDescent="0.25">
      <c r="A43" s="67">
        <v>17</v>
      </c>
      <c r="B43" s="193" t="s">
        <v>35</v>
      </c>
      <c r="C43" s="68" t="s">
        <v>19</v>
      </c>
      <c r="D43" s="103">
        <v>17070</v>
      </c>
      <c r="E43" s="164">
        <v>17070</v>
      </c>
      <c r="F43" s="104">
        <f t="shared" si="26"/>
        <v>1831.6079999999999</v>
      </c>
      <c r="G43" s="103">
        <v>1831.6079999999999</v>
      </c>
      <c r="H43" s="103">
        <v>1652</v>
      </c>
      <c r="I43" s="103">
        <f t="shared" si="2"/>
        <v>179.60799999999995</v>
      </c>
      <c r="J43" s="149">
        <f t="shared" si="3"/>
        <v>110.87215496368039</v>
      </c>
      <c r="K43" s="103">
        <f t="shared" si="4"/>
        <v>1422.5</v>
      </c>
      <c r="L43" s="103">
        <f t="shared" si="5"/>
        <v>409.10799999999995</v>
      </c>
      <c r="M43" s="149">
        <f t="shared" si="6"/>
        <v>128.75978910369068</v>
      </c>
      <c r="N43" s="149">
        <f t="shared" si="7"/>
        <v>10.729982425307556</v>
      </c>
      <c r="O43" s="165">
        <v>1098.662</v>
      </c>
      <c r="P43" s="105">
        <f t="shared" si="27"/>
        <v>732.94599999999991</v>
      </c>
      <c r="Q43" s="106">
        <f t="shared" si="24"/>
        <v>166.71260132779688</v>
      </c>
      <c r="R43" s="71">
        <v>3831.8429999999998</v>
      </c>
    </row>
    <row r="44" spans="1:21" s="71" customFormat="1" ht="23.25" customHeight="1" x14ac:dyDescent="0.25">
      <c r="A44" s="67">
        <f t="shared" ref="A44:A50" si="31">A43+1</f>
        <v>18</v>
      </c>
      <c r="B44" s="189" t="s">
        <v>54</v>
      </c>
      <c r="C44" s="68" t="s">
        <v>15</v>
      </c>
      <c r="D44" s="103">
        <v>687.01599999999996</v>
      </c>
      <c r="E44" s="164">
        <v>687.01599999999996</v>
      </c>
      <c r="F44" s="104">
        <f t="shared" si="26"/>
        <v>69.938000000000002</v>
      </c>
      <c r="G44" s="103">
        <v>69.938000000000002</v>
      </c>
      <c r="H44" s="103">
        <v>68</v>
      </c>
      <c r="I44" s="103">
        <f t="shared" si="2"/>
        <v>1.9380000000000024</v>
      </c>
      <c r="J44" s="149">
        <f t="shared" si="3"/>
        <v>102.85</v>
      </c>
      <c r="K44" s="103">
        <f t="shared" si="4"/>
        <v>57.251333333333328</v>
      </c>
      <c r="L44" s="103">
        <f t="shared" si="5"/>
        <v>12.686666666666675</v>
      </c>
      <c r="M44" s="149">
        <f t="shared" si="6"/>
        <v>122.1596003586525</v>
      </c>
      <c r="N44" s="149">
        <f t="shared" si="7"/>
        <v>10.179966696554375</v>
      </c>
      <c r="O44" s="165">
        <v>11.548</v>
      </c>
      <c r="P44" s="105">
        <f t="shared" si="27"/>
        <v>58.39</v>
      </c>
      <c r="Q44" s="106">
        <f t="shared" si="24"/>
        <v>605.62868029095944</v>
      </c>
      <c r="R44" s="70">
        <f>100-Q44</f>
        <v>-505.62868029095944</v>
      </c>
    </row>
    <row r="45" spans="1:21" s="71" customFormat="1" ht="65.25" customHeight="1" x14ac:dyDescent="0.25">
      <c r="A45" s="67">
        <f t="shared" si="31"/>
        <v>19</v>
      </c>
      <c r="B45" s="189" t="s">
        <v>92</v>
      </c>
      <c r="C45" s="68" t="s">
        <v>91</v>
      </c>
      <c r="D45" s="103">
        <v>54</v>
      </c>
      <c r="E45" s="164">
        <v>54</v>
      </c>
      <c r="F45" s="104">
        <f t="shared" si="26"/>
        <v>9.3330000000000002</v>
      </c>
      <c r="G45" s="103">
        <v>9.3330000000000002</v>
      </c>
      <c r="H45" s="103">
        <v>9.3000000000000007</v>
      </c>
      <c r="I45" s="103">
        <f t="shared" si="2"/>
        <v>3.2999999999999474E-2</v>
      </c>
      <c r="J45" s="149">
        <f t="shared" si="3"/>
        <v>100.35483870967741</v>
      </c>
      <c r="K45" s="103">
        <f t="shared" si="4"/>
        <v>4.5</v>
      </c>
      <c r="L45" s="103">
        <f t="shared" si="5"/>
        <v>4.8330000000000002</v>
      </c>
      <c r="M45" s="149">
        <f t="shared" si="6"/>
        <v>207.39999999999998</v>
      </c>
      <c r="N45" s="149">
        <f t="shared" si="7"/>
        <v>17.283333333333335</v>
      </c>
      <c r="O45" s="165">
        <v>0</v>
      </c>
      <c r="P45" s="105">
        <f t="shared" si="27"/>
        <v>9.3330000000000002</v>
      </c>
      <c r="Q45" s="106"/>
    </row>
    <row r="46" spans="1:21" s="71" customFormat="1" ht="23.25" x14ac:dyDescent="0.25">
      <c r="A46" s="67">
        <f t="shared" si="31"/>
        <v>20</v>
      </c>
      <c r="B46" s="191" t="s">
        <v>61</v>
      </c>
      <c r="C46" s="32" t="s">
        <v>62</v>
      </c>
      <c r="D46" s="103">
        <v>500</v>
      </c>
      <c r="E46" s="164">
        <v>500</v>
      </c>
      <c r="F46" s="104">
        <f t="shared" si="26"/>
        <v>0</v>
      </c>
      <c r="G46" s="103">
        <v>0</v>
      </c>
      <c r="H46" s="103">
        <v>0</v>
      </c>
      <c r="I46" s="103">
        <f t="shared" si="2"/>
        <v>0</v>
      </c>
      <c r="J46" s="149"/>
      <c r="K46" s="103">
        <f t="shared" si="4"/>
        <v>41.666666666666664</v>
      </c>
      <c r="L46" s="103">
        <f t="shared" si="5"/>
        <v>-41.666666666666664</v>
      </c>
      <c r="M46" s="149">
        <f t="shared" si="6"/>
        <v>0</v>
      </c>
      <c r="N46" s="149">
        <f t="shared" si="7"/>
        <v>0</v>
      </c>
      <c r="O46" s="165">
        <v>0</v>
      </c>
      <c r="P46" s="105">
        <f t="shared" si="27"/>
        <v>0</v>
      </c>
      <c r="Q46" s="106"/>
    </row>
    <row r="47" spans="1:21" s="71" customFormat="1" ht="29.25" customHeight="1" x14ac:dyDescent="0.25">
      <c r="A47" s="67">
        <f t="shared" si="31"/>
        <v>21</v>
      </c>
      <c r="B47" s="189" t="s">
        <v>8</v>
      </c>
      <c r="C47" s="68" t="s">
        <v>20</v>
      </c>
      <c r="D47" s="103">
        <v>4000</v>
      </c>
      <c r="E47" s="164">
        <v>4000</v>
      </c>
      <c r="F47" s="104">
        <f t="shared" si="26"/>
        <v>505.59100000000001</v>
      </c>
      <c r="G47" s="103">
        <v>505.59100000000001</v>
      </c>
      <c r="H47" s="103">
        <v>420</v>
      </c>
      <c r="I47" s="103">
        <f t="shared" si="2"/>
        <v>85.591000000000008</v>
      </c>
      <c r="J47" s="149">
        <f t="shared" si="3"/>
        <v>120.37880952380952</v>
      </c>
      <c r="K47" s="103">
        <f t="shared" si="4"/>
        <v>333.33333333333331</v>
      </c>
      <c r="L47" s="103">
        <f t="shared" si="5"/>
        <v>172.25766666666669</v>
      </c>
      <c r="M47" s="149">
        <f t="shared" si="6"/>
        <v>151.6773</v>
      </c>
      <c r="N47" s="149">
        <f t="shared" si="7"/>
        <v>12.639775</v>
      </c>
      <c r="O47" s="165">
        <v>1821.1769999999999</v>
      </c>
      <c r="P47" s="105">
        <f t="shared" si="27"/>
        <v>-1315.5859999999998</v>
      </c>
      <c r="Q47" s="106">
        <f>F47/O47*100</f>
        <v>27.761771645479822</v>
      </c>
      <c r="U47" s="71">
        <v>246438.04</v>
      </c>
    </row>
    <row r="48" spans="1:21" s="71" customFormat="1" ht="96.75" customHeight="1" x14ac:dyDescent="0.25">
      <c r="A48" s="67">
        <f t="shared" si="31"/>
        <v>22</v>
      </c>
      <c r="B48" s="189" t="s">
        <v>53</v>
      </c>
      <c r="C48" s="68" t="s">
        <v>47</v>
      </c>
      <c r="D48" s="103">
        <v>8000</v>
      </c>
      <c r="E48" s="164">
        <v>8000</v>
      </c>
      <c r="F48" s="104">
        <f t="shared" si="26"/>
        <v>302.25299999999999</v>
      </c>
      <c r="G48" s="103">
        <v>302.25299999999999</v>
      </c>
      <c r="H48" s="103">
        <v>300</v>
      </c>
      <c r="I48" s="103">
        <f t="shared" si="2"/>
        <v>2.2529999999999859</v>
      </c>
      <c r="J48" s="149">
        <f t="shared" si="3"/>
        <v>100.75099999999999</v>
      </c>
      <c r="K48" s="103">
        <f t="shared" si="4"/>
        <v>666.66666666666663</v>
      </c>
      <c r="L48" s="103">
        <f t="shared" si="5"/>
        <v>-364.41366666666664</v>
      </c>
      <c r="M48" s="149">
        <f t="shared" si="6"/>
        <v>45.337949999999999</v>
      </c>
      <c r="N48" s="149">
        <f t="shared" si="7"/>
        <v>3.7781625000000001</v>
      </c>
      <c r="O48" s="165">
        <v>69.647000000000006</v>
      </c>
      <c r="P48" s="105">
        <f t="shared" si="27"/>
        <v>232.60599999999999</v>
      </c>
      <c r="Q48" s="106">
        <f>F48/O48*100</f>
        <v>433.97849153588811</v>
      </c>
    </row>
    <row r="49" spans="1:24" s="71" customFormat="1" ht="56.25" x14ac:dyDescent="0.25">
      <c r="A49" s="67">
        <f t="shared" si="31"/>
        <v>23</v>
      </c>
      <c r="B49" s="189" t="s">
        <v>118</v>
      </c>
      <c r="C49" s="68" t="s">
        <v>117</v>
      </c>
      <c r="D49" s="103">
        <v>50</v>
      </c>
      <c r="E49" s="164">
        <v>50</v>
      </c>
      <c r="F49" s="104">
        <f t="shared" si="26"/>
        <v>0</v>
      </c>
      <c r="G49" s="103">
        <v>0</v>
      </c>
      <c r="H49" s="103">
        <v>0</v>
      </c>
      <c r="I49" s="103">
        <f t="shared" si="2"/>
        <v>0</v>
      </c>
      <c r="J49" s="173"/>
      <c r="K49" s="103">
        <f t="shared" si="4"/>
        <v>4.166666666666667</v>
      </c>
      <c r="L49" s="103">
        <f t="shared" si="5"/>
        <v>-4.166666666666667</v>
      </c>
      <c r="M49" s="149">
        <f t="shared" si="6"/>
        <v>0</v>
      </c>
      <c r="N49" s="149">
        <f t="shared" si="7"/>
        <v>0</v>
      </c>
      <c r="O49" s="165">
        <v>0.64500000000000002</v>
      </c>
      <c r="P49" s="105">
        <f t="shared" si="27"/>
        <v>-0.64500000000000002</v>
      </c>
      <c r="Q49" s="167">
        <f t="shared" ref="Q49" si="32">F49/O49*100</f>
        <v>0</v>
      </c>
      <c r="S49" s="69">
        <f>F51-F47</f>
        <v>608637.50500000012</v>
      </c>
      <c r="T49" s="69">
        <f>O51-O47</f>
        <v>506257.52800000005</v>
      </c>
      <c r="U49" s="70">
        <f>S49/T49</f>
        <v>1.2022290461624505</v>
      </c>
    </row>
    <row r="50" spans="1:24" s="71" customFormat="1" ht="23.25" x14ac:dyDescent="0.25">
      <c r="A50" s="67">
        <f t="shared" si="31"/>
        <v>24</v>
      </c>
      <c r="B50" s="189" t="s">
        <v>82</v>
      </c>
      <c r="C50" s="68" t="s">
        <v>81</v>
      </c>
      <c r="D50" s="103">
        <v>0.1</v>
      </c>
      <c r="E50" s="164">
        <v>0.1</v>
      </c>
      <c r="F50" s="104">
        <f t="shared" si="26"/>
        <v>0.21199999999999999</v>
      </c>
      <c r="G50" s="103">
        <v>0.21199999999999999</v>
      </c>
      <c r="H50" s="103">
        <v>0.1</v>
      </c>
      <c r="I50" s="103">
        <f t="shared" si="2"/>
        <v>0.11199999999999999</v>
      </c>
      <c r="J50" s="149">
        <f t="shared" si="3"/>
        <v>211.99999999999997</v>
      </c>
      <c r="K50" s="103">
        <f t="shared" si="4"/>
        <v>8.3333333333333332E-3</v>
      </c>
      <c r="L50" s="103">
        <f t="shared" si="5"/>
        <v>0.20366666666666666</v>
      </c>
      <c r="M50" s="149">
        <f t="shared" si="6"/>
        <v>2544</v>
      </c>
      <c r="N50" s="149">
        <f t="shared" si="7"/>
        <v>211.99999999999997</v>
      </c>
      <c r="O50" s="165">
        <v>0</v>
      </c>
      <c r="P50" s="105">
        <f t="shared" si="27"/>
        <v>0.21199999999999999</v>
      </c>
      <c r="Q50" s="167"/>
    </row>
    <row r="51" spans="1:24" s="80" customFormat="1" ht="34.5" customHeight="1" x14ac:dyDescent="0.3">
      <c r="A51" s="204" t="s">
        <v>150</v>
      </c>
      <c r="B51" s="205"/>
      <c r="C51" s="206"/>
      <c r="D51" s="77">
        <f>D7+D8+D9+D14+D22+D28+D29+D30+D31+D32+D33+D34+D37+D43+D44+D45+D46+D47+D48+D50+D49+D36+D35+D42</f>
        <v>7589718.675999999</v>
      </c>
      <c r="E51" s="183">
        <f>E7+E8+E9+E14+E22+E28+E29+E30+E31+E32+E33+E34+E37+E43+E44+E45+E46+E47+E48+E50+E49+E36+E35+E42</f>
        <v>7589718.675999999</v>
      </c>
      <c r="F51" s="77">
        <f t="shared" si="26"/>
        <v>609143.09600000014</v>
      </c>
      <c r="G51" s="77">
        <f>G7+G8+G9+G14+G22+G28+G29+G30+G31+G32+G33+G34+G37+G43+G44+G45+G46+G47+G48+G50+G49+G36+G35+G21</f>
        <v>609143.09600000014</v>
      </c>
      <c r="H51" s="77">
        <f>H7+H8+H9+H14+H22+H28+H29+H30+H31+H32+H33+H34+H37+H43+H44+H45+H46+H47+H48+H50+H49+H36+H35</f>
        <v>466674.99999999994</v>
      </c>
      <c r="I51" s="77">
        <f t="shared" si="2"/>
        <v>142468.09600000019</v>
      </c>
      <c r="J51" s="151">
        <f t="shared" si="3"/>
        <v>130.52833256548993</v>
      </c>
      <c r="K51" s="77">
        <f>K7+K8+K9+K14+K22+K28+K29+K30+K31+K32+K33+K34+K37+K43+K44+K45+K46+K47+K48+K50+K49+K36+K35+K21+K42</f>
        <v>632476.55633333302</v>
      </c>
      <c r="L51" s="77">
        <f t="shared" si="5"/>
        <v>-23333.460333332885</v>
      </c>
      <c r="M51" s="151">
        <f t="shared" si="6"/>
        <v>96.31077862101256</v>
      </c>
      <c r="N51" s="151">
        <f t="shared" si="7"/>
        <v>8.0258982184177103</v>
      </c>
      <c r="O51" s="183">
        <f>O7+O8+O9+O14+O22+O28+O29+O30+O31+O32+O33+O34+O37+O43+O44+O45+O46+O47+O48+O50+O49+O36+O35+O21</f>
        <v>508078.70500000007</v>
      </c>
      <c r="P51" s="78">
        <f t="shared" si="27"/>
        <v>101064.39100000006</v>
      </c>
      <c r="Q51" s="79">
        <f>F51/O51*100</f>
        <v>119.89148334803758</v>
      </c>
      <c r="R51" s="183">
        <v>426745.84000000008</v>
      </c>
      <c r="S51" s="81">
        <f>R51-O51</f>
        <v>-81332.864999999991</v>
      </c>
      <c r="V51" s="81" t="e">
        <f>#REF!-#REF!-#REF!</f>
        <v>#REF!</v>
      </c>
      <c r="X51" s="80">
        <v>294547.38299999997</v>
      </c>
    </row>
    <row r="52" spans="1:24" s="9" customFormat="1" ht="69" x14ac:dyDescent="0.25">
      <c r="A52" s="23">
        <v>1</v>
      </c>
      <c r="B52" s="185" t="s">
        <v>180</v>
      </c>
      <c r="C52" s="24" t="s">
        <v>181</v>
      </c>
      <c r="D52" s="169">
        <v>30609.4</v>
      </c>
      <c r="E52" s="169">
        <v>30609.4</v>
      </c>
      <c r="F52" s="165">
        <f t="shared" si="26"/>
        <v>2550.8000000000002</v>
      </c>
      <c r="G52" s="164">
        <v>2550.8000000000002</v>
      </c>
      <c r="H52" s="164">
        <v>2550.8000000000002</v>
      </c>
      <c r="I52" s="164">
        <f t="shared" ref="I52:I53" si="33">F52-H52</f>
        <v>0</v>
      </c>
      <c r="J52" s="173">
        <f t="shared" ref="J52:J53" si="34">F52/H52*100</f>
        <v>100</v>
      </c>
      <c r="K52" s="164">
        <f>H52</f>
        <v>2550.8000000000002</v>
      </c>
      <c r="L52" s="164">
        <f t="shared" ref="L52:L53" si="35">F52-K52</f>
        <v>0</v>
      </c>
      <c r="M52" s="173">
        <f t="shared" ref="M52:M53" si="36">F52/K52*100</f>
        <v>100</v>
      </c>
      <c r="N52" s="173">
        <f t="shared" ref="N52:N53" si="37">F52/E52*100</f>
        <v>8.333387782837951</v>
      </c>
      <c r="O52" s="165"/>
      <c r="P52" s="166">
        <f t="shared" si="27"/>
        <v>2550.8000000000002</v>
      </c>
      <c r="Q52" s="167"/>
      <c r="R52" s="37"/>
      <c r="S52" s="37"/>
      <c r="T52" s="37"/>
      <c r="U52" s="39"/>
    </row>
    <row r="53" spans="1:24" s="9" customFormat="1" ht="34.5" x14ac:dyDescent="0.25">
      <c r="A53" s="23">
        <f>A52+1</f>
        <v>2</v>
      </c>
      <c r="B53" s="185" t="s">
        <v>182</v>
      </c>
      <c r="C53" s="24" t="s">
        <v>183</v>
      </c>
      <c r="D53" s="169"/>
      <c r="E53" s="169">
        <v>68411.899999999994</v>
      </c>
      <c r="F53" s="165">
        <f t="shared" si="26"/>
        <v>13682.4</v>
      </c>
      <c r="G53" s="164">
        <v>13682.4</v>
      </c>
      <c r="H53" s="164">
        <v>13682.4</v>
      </c>
      <c r="I53" s="164">
        <f t="shared" si="33"/>
        <v>0</v>
      </c>
      <c r="J53" s="173">
        <f t="shared" si="34"/>
        <v>100</v>
      </c>
      <c r="K53" s="164">
        <f>H53</f>
        <v>13682.4</v>
      </c>
      <c r="L53" s="164">
        <f t="shared" si="35"/>
        <v>0</v>
      </c>
      <c r="M53" s="173">
        <f t="shared" si="36"/>
        <v>100</v>
      </c>
      <c r="N53" s="173">
        <f t="shared" si="37"/>
        <v>20.000029234679932</v>
      </c>
      <c r="O53" s="165"/>
      <c r="P53" s="166">
        <f t="shared" si="27"/>
        <v>13682.4</v>
      </c>
      <c r="Q53" s="167"/>
      <c r="R53" s="37"/>
      <c r="S53" s="37"/>
      <c r="T53" s="37"/>
      <c r="U53" s="39"/>
    </row>
    <row r="54" spans="1:24" s="9" customFormat="1" ht="23.25" x14ac:dyDescent="0.25">
      <c r="A54" s="23">
        <f t="shared" ref="A54:A60" si="38">A53+1</f>
        <v>3</v>
      </c>
      <c r="B54" s="185" t="s">
        <v>137</v>
      </c>
      <c r="C54" s="24" t="s">
        <v>55</v>
      </c>
      <c r="D54" s="111"/>
      <c r="E54" s="169">
        <v>842682.8</v>
      </c>
      <c r="F54" s="104">
        <f t="shared" si="26"/>
        <v>96402.9</v>
      </c>
      <c r="G54" s="103">
        <v>96402.9</v>
      </c>
      <c r="H54" s="103">
        <v>96402.9</v>
      </c>
      <c r="I54" s="103">
        <f t="shared" si="2"/>
        <v>0</v>
      </c>
      <c r="J54" s="149">
        <f t="shared" si="3"/>
        <v>100</v>
      </c>
      <c r="K54" s="103">
        <f>H54</f>
        <v>96402.9</v>
      </c>
      <c r="L54" s="103">
        <f t="shared" si="5"/>
        <v>0</v>
      </c>
      <c r="M54" s="149">
        <f t="shared" si="6"/>
        <v>100</v>
      </c>
      <c r="N54" s="149">
        <f t="shared" si="7"/>
        <v>11.439998538002673</v>
      </c>
      <c r="O54" s="165">
        <v>68639.8</v>
      </c>
      <c r="P54" s="105">
        <f t="shared" si="27"/>
        <v>27763.099999999991</v>
      </c>
      <c r="Q54" s="106">
        <f t="shared" ref="Q54:Q57" si="39">F54/O54*100</f>
        <v>140.44752461399946</v>
      </c>
      <c r="R54" s="37"/>
      <c r="S54" s="37"/>
      <c r="T54" s="37"/>
      <c r="U54" s="39"/>
    </row>
    <row r="55" spans="1:24" s="9" customFormat="1" ht="34.5" x14ac:dyDescent="0.25">
      <c r="A55" s="23">
        <f t="shared" si="38"/>
        <v>4</v>
      </c>
      <c r="B55" s="185" t="s">
        <v>173</v>
      </c>
      <c r="C55" s="24" t="s">
        <v>172</v>
      </c>
      <c r="D55" s="169"/>
      <c r="E55" s="169"/>
      <c r="F55" s="165">
        <f t="shared" si="26"/>
        <v>0</v>
      </c>
      <c r="G55" s="164"/>
      <c r="H55" s="164"/>
      <c r="I55" s="164">
        <f t="shared" si="2"/>
        <v>0</v>
      </c>
      <c r="J55" s="173"/>
      <c r="K55" s="164"/>
      <c r="L55" s="164"/>
      <c r="M55" s="173"/>
      <c r="N55" s="173"/>
      <c r="O55" s="165">
        <v>353</v>
      </c>
      <c r="P55" s="166">
        <f t="shared" si="27"/>
        <v>-353</v>
      </c>
      <c r="Q55" s="167">
        <f t="shared" si="39"/>
        <v>0</v>
      </c>
      <c r="R55" s="37"/>
      <c r="S55" s="37"/>
      <c r="T55" s="37"/>
      <c r="U55" s="39"/>
    </row>
    <row r="56" spans="1:24" s="9" customFormat="1" ht="51.75" x14ac:dyDescent="0.25">
      <c r="A56" s="23">
        <f t="shared" si="38"/>
        <v>5</v>
      </c>
      <c r="B56" s="185" t="s">
        <v>178</v>
      </c>
      <c r="C56" s="24" t="s">
        <v>177</v>
      </c>
      <c r="D56" s="169"/>
      <c r="E56" s="169"/>
      <c r="F56" s="165">
        <f t="shared" si="26"/>
        <v>0</v>
      </c>
      <c r="G56" s="164"/>
      <c r="H56" s="164"/>
      <c r="I56" s="164"/>
      <c r="J56" s="173"/>
      <c r="K56" s="164"/>
      <c r="L56" s="164"/>
      <c r="M56" s="173"/>
      <c r="N56" s="173"/>
      <c r="O56" s="165"/>
      <c r="P56" s="166">
        <f t="shared" si="27"/>
        <v>0</v>
      </c>
      <c r="Q56" s="167"/>
      <c r="R56" s="37"/>
      <c r="S56" s="37"/>
      <c r="T56" s="37"/>
      <c r="U56" s="39"/>
    </row>
    <row r="57" spans="1:24" s="9" customFormat="1" ht="34.5" x14ac:dyDescent="0.25">
      <c r="A57" s="23">
        <f t="shared" si="38"/>
        <v>6</v>
      </c>
      <c r="B57" s="185" t="s">
        <v>175</v>
      </c>
      <c r="C57" s="24" t="s">
        <v>174</v>
      </c>
      <c r="D57" s="169"/>
      <c r="E57" s="169">
        <v>82335.600000000006</v>
      </c>
      <c r="F57" s="165">
        <f t="shared" si="26"/>
        <v>13722.6</v>
      </c>
      <c r="G57" s="164">
        <v>13722.6</v>
      </c>
      <c r="H57" s="164">
        <v>13722.6</v>
      </c>
      <c r="I57" s="164">
        <f t="shared" si="2"/>
        <v>0</v>
      </c>
      <c r="J57" s="173">
        <f t="shared" si="3"/>
        <v>100</v>
      </c>
      <c r="K57" s="164">
        <f>H57</f>
        <v>13722.6</v>
      </c>
      <c r="L57" s="164">
        <f t="shared" ref="L57" si="40">F57-K57</f>
        <v>0</v>
      </c>
      <c r="M57" s="173">
        <f t="shared" ref="M57" si="41">F57/K57*100</f>
        <v>100</v>
      </c>
      <c r="N57" s="173">
        <f t="shared" ref="N57" si="42">F57/E57*100</f>
        <v>16.666666666666664</v>
      </c>
      <c r="O57" s="165">
        <v>6048.4</v>
      </c>
      <c r="P57" s="166">
        <f t="shared" si="27"/>
        <v>7674.2000000000007</v>
      </c>
      <c r="Q57" s="167">
        <f t="shared" si="39"/>
        <v>226.87983598968322</v>
      </c>
      <c r="R57" s="37"/>
      <c r="S57" s="37"/>
      <c r="T57" s="37"/>
      <c r="U57" s="39"/>
    </row>
    <row r="58" spans="1:24" s="9" customFormat="1" ht="34.5" x14ac:dyDescent="0.25">
      <c r="A58" s="23">
        <f t="shared" si="38"/>
        <v>7</v>
      </c>
      <c r="B58" s="186" t="s">
        <v>138</v>
      </c>
      <c r="C58" s="123" t="s">
        <v>114</v>
      </c>
      <c r="D58" s="111">
        <v>30295.7</v>
      </c>
      <c r="E58" s="169">
        <v>16327.15</v>
      </c>
      <c r="F58" s="104">
        <f t="shared" si="26"/>
        <v>1868.95</v>
      </c>
      <c r="G58" s="103">
        <v>1868.95</v>
      </c>
      <c r="H58" s="103">
        <v>1868.95</v>
      </c>
      <c r="I58" s="103">
        <f t="shared" si="2"/>
        <v>0</v>
      </c>
      <c r="J58" s="149">
        <f t="shared" si="3"/>
        <v>100</v>
      </c>
      <c r="K58" s="103">
        <f t="shared" ref="K58:K65" si="43">H58</f>
        <v>1868.95</v>
      </c>
      <c r="L58" s="103">
        <f t="shared" si="5"/>
        <v>0</v>
      </c>
      <c r="M58" s="149">
        <f t="shared" si="6"/>
        <v>100</v>
      </c>
      <c r="N58" s="149">
        <f t="shared" si="7"/>
        <v>11.446884483819895</v>
      </c>
      <c r="O58" s="165">
        <v>2136.527</v>
      </c>
      <c r="P58" s="105">
        <f t="shared" si="27"/>
        <v>-267.577</v>
      </c>
      <c r="Q58" s="106">
        <f>F58/O58*100</f>
        <v>87.476076829359044</v>
      </c>
    </row>
    <row r="59" spans="1:24" s="9" customFormat="1" ht="54" customHeight="1" x14ac:dyDescent="0.25">
      <c r="A59" s="23">
        <f t="shared" si="38"/>
        <v>8</v>
      </c>
      <c r="B59" s="186" t="s">
        <v>184</v>
      </c>
      <c r="C59" s="123" t="s">
        <v>185</v>
      </c>
      <c r="D59" s="111"/>
      <c r="E59" s="169">
        <v>7240.4160000000002</v>
      </c>
      <c r="F59" s="104">
        <f t="shared" si="26"/>
        <v>591.60599999999999</v>
      </c>
      <c r="G59" s="103">
        <v>591.60599999999999</v>
      </c>
      <c r="H59" s="103">
        <v>591.60599999999999</v>
      </c>
      <c r="I59" s="103">
        <f t="shared" si="2"/>
        <v>0</v>
      </c>
      <c r="J59" s="173">
        <f t="shared" ref="J59" si="44">F59/H59*100</f>
        <v>100</v>
      </c>
      <c r="K59" s="164">
        <f t="shared" ref="K59" si="45">H59</f>
        <v>591.60599999999999</v>
      </c>
      <c r="L59" s="164">
        <f t="shared" ref="L59" si="46">F59-K59</f>
        <v>0</v>
      </c>
      <c r="M59" s="173">
        <f t="shared" ref="M59" si="47">F59/K59*100</f>
        <v>100</v>
      </c>
      <c r="N59" s="173">
        <f t="shared" ref="N59" si="48">F59/E59*100</f>
        <v>8.1708841038967925</v>
      </c>
      <c r="O59" s="165">
        <v>0</v>
      </c>
      <c r="P59" s="105">
        <f t="shared" si="27"/>
        <v>591.60599999999999</v>
      </c>
      <c r="Q59" s="106"/>
    </row>
    <row r="60" spans="1:24" s="9" customFormat="1" ht="23.25" x14ac:dyDescent="0.25">
      <c r="A60" s="23">
        <f t="shared" si="38"/>
        <v>9</v>
      </c>
      <c r="B60" s="187" t="s">
        <v>139</v>
      </c>
      <c r="C60" s="123" t="s">
        <v>106</v>
      </c>
      <c r="D60" s="111">
        <f>SUM(D61:D65)</f>
        <v>1902.8910000000001</v>
      </c>
      <c r="E60" s="169">
        <f>SUM(E61:E65)</f>
        <v>1902.8910000000001</v>
      </c>
      <c r="F60" s="104">
        <f t="shared" si="26"/>
        <v>4</v>
      </c>
      <c r="G60" s="103">
        <f>SUM(G61:G65)</f>
        <v>4</v>
      </c>
      <c r="H60" s="103">
        <f>SUM(H61:H65)</f>
        <v>216.21699999999998</v>
      </c>
      <c r="I60" s="103">
        <f t="shared" si="2"/>
        <v>-212.21699999999998</v>
      </c>
      <c r="J60" s="149">
        <f t="shared" si="3"/>
        <v>1.8499932937743102</v>
      </c>
      <c r="K60" s="103">
        <f t="shared" si="43"/>
        <v>216.21699999999998</v>
      </c>
      <c r="L60" s="103">
        <f t="shared" si="5"/>
        <v>-212.21699999999998</v>
      </c>
      <c r="M60" s="149">
        <f t="shared" si="6"/>
        <v>1.8499932937743102</v>
      </c>
      <c r="N60" s="149">
        <f t="shared" si="7"/>
        <v>0.21020647005004492</v>
      </c>
      <c r="O60" s="165">
        <f>SUM(O61:O65)</f>
        <v>0</v>
      </c>
      <c r="P60" s="105">
        <f t="shared" si="27"/>
        <v>4</v>
      </c>
      <c r="Q60" s="106"/>
      <c r="R60" s="104"/>
      <c r="S60" s="104"/>
    </row>
    <row r="61" spans="1:24" s="36" customFormat="1" ht="34.5" x14ac:dyDescent="0.25">
      <c r="A61" s="35" t="s">
        <v>193</v>
      </c>
      <c r="B61" s="188" t="s">
        <v>140</v>
      </c>
      <c r="C61" s="92"/>
      <c r="D61" s="112">
        <v>48</v>
      </c>
      <c r="E61" s="170">
        <v>48</v>
      </c>
      <c r="F61" s="108">
        <f t="shared" si="26"/>
        <v>4</v>
      </c>
      <c r="G61" s="107">
        <v>4</v>
      </c>
      <c r="H61" s="107">
        <v>4</v>
      </c>
      <c r="I61" s="107">
        <f t="shared" si="2"/>
        <v>0</v>
      </c>
      <c r="J61" s="150">
        <f t="shared" si="3"/>
        <v>100</v>
      </c>
      <c r="K61" s="107">
        <f t="shared" si="43"/>
        <v>4</v>
      </c>
      <c r="L61" s="107">
        <f t="shared" si="5"/>
        <v>0</v>
      </c>
      <c r="M61" s="150">
        <f t="shared" si="6"/>
        <v>100</v>
      </c>
      <c r="N61" s="150">
        <f t="shared" si="7"/>
        <v>8.3333333333333321</v>
      </c>
      <c r="O61" s="108">
        <v>0</v>
      </c>
      <c r="P61" s="109">
        <f t="shared" si="27"/>
        <v>4</v>
      </c>
      <c r="Q61" s="110"/>
    </row>
    <row r="62" spans="1:24" s="36" customFormat="1" ht="34.5" x14ac:dyDescent="0.25">
      <c r="A62" s="35" t="s">
        <v>194</v>
      </c>
      <c r="B62" s="188" t="s">
        <v>141</v>
      </c>
      <c r="C62" s="92"/>
      <c r="D62" s="112">
        <v>1246.7</v>
      </c>
      <c r="E62" s="170">
        <v>1246.7</v>
      </c>
      <c r="F62" s="108">
        <f t="shared" si="26"/>
        <v>0</v>
      </c>
      <c r="G62" s="107">
        <v>0</v>
      </c>
      <c r="H62" s="107">
        <v>104</v>
      </c>
      <c r="I62" s="107">
        <f t="shared" si="2"/>
        <v>-104</v>
      </c>
      <c r="J62" s="150"/>
      <c r="K62" s="107">
        <f t="shared" si="43"/>
        <v>104</v>
      </c>
      <c r="L62" s="107">
        <f t="shared" si="5"/>
        <v>-104</v>
      </c>
      <c r="M62" s="150">
        <f t="shared" si="6"/>
        <v>0</v>
      </c>
      <c r="N62" s="150">
        <f t="shared" si="7"/>
        <v>0</v>
      </c>
      <c r="O62" s="108">
        <v>0</v>
      </c>
      <c r="P62" s="109">
        <f t="shared" si="27"/>
        <v>0</v>
      </c>
      <c r="Q62" s="110"/>
    </row>
    <row r="63" spans="1:24" s="36" customFormat="1" ht="51.75" x14ac:dyDescent="0.25">
      <c r="A63" s="35" t="s">
        <v>195</v>
      </c>
      <c r="B63" s="188" t="s">
        <v>142</v>
      </c>
      <c r="C63" s="92"/>
      <c r="D63" s="112">
        <v>349.3</v>
      </c>
      <c r="E63" s="170">
        <v>349.3</v>
      </c>
      <c r="F63" s="108">
        <f t="shared" si="26"/>
        <v>0</v>
      </c>
      <c r="G63" s="107">
        <v>0</v>
      </c>
      <c r="H63" s="168">
        <v>58.216999999999999</v>
      </c>
      <c r="I63" s="107">
        <f t="shared" si="2"/>
        <v>-58.216999999999999</v>
      </c>
      <c r="J63" s="150"/>
      <c r="K63" s="107">
        <f t="shared" si="43"/>
        <v>58.216999999999999</v>
      </c>
      <c r="L63" s="107">
        <f t="shared" si="5"/>
        <v>-58.216999999999999</v>
      </c>
      <c r="M63" s="150">
        <f t="shared" si="6"/>
        <v>0</v>
      </c>
      <c r="N63" s="150">
        <f t="shared" si="7"/>
        <v>0</v>
      </c>
      <c r="O63" s="108">
        <v>0</v>
      </c>
      <c r="P63" s="109">
        <f t="shared" si="27"/>
        <v>0</v>
      </c>
      <c r="Q63" s="110"/>
    </row>
    <row r="64" spans="1:24" s="36" customFormat="1" ht="69" x14ac:dyDescent="0.25">
      <c r="A64" s="35" t="s">
        <v>196</v>
      </c>
      <c r="B64" s="188" t="s">
        <v>176</v>
      </c>
      <c r="C64" s="92"/>
      <c r="D64" s="170">
        <v>258.89100000000002</v>
      </c>
      <c r="E64" s="170">
        <v>258.89100000000002</v>
      </c>
      <c r="F64" s="108">
        <f t="shared" si="26"/>
        <v>0</v>
      </c>
      <c r="G64" s="168">
        <v>0</v>
      </c>
      <c r="H64" s="168">
        <v>50</v>
      </c>
      <c r="I64" s="168">
        <f t="shared" si="2"/>
        <v>-50</v>
      </c>
      <c r="J64" s="150"/>
      <c r="K64" s="168">
        <f t="shared" si="43"/>
        <v>50</v>
      </c>
      <c r="L64" s="168">
        <f t="shared" si="5"/>
        <v>-50</v>
      </c>
      <c r="M64" s="150">
        <f t="shared" si="6"/>
        <v>0</v>
      </c>
      <c r="N64" s="150">
        <f t="shared" si="7"/>
        <v>0</v>
      </c>
      <c r="O64" s="108">
        <v>0</v>
      </c>
      <c r="P64" s="109">
        <f t="shared" si="27"/>
        <v>0</v>
      </c>
      <c r="Q64" s="110"/>
    </row>
    <row r="65" spans="1:22" s="36" customFormat="1" ht="56.25" hidden="1" x14ac:dyDescent="0.25">
      <c r="A65" s="35" t="s">
        <v>179</v>
      </c>
      <c r="B65" s="184" t="s">
        <v>153</v>
      </c>
      <c r="C65" s="92"/>
      <c r="D65" s="112"/>
      <c r="E65" s="170"/>
      <c r="F65" s="108">
        <f t="shared" si="26"/>
        <v>0</v>
      </c>
      <c r="G65" s="107">
        <v>0</v>
      </c>
      <c r="H65" s="168">
        <v>0</v>
      </c>
      <c r="I65" s="107">
        <f t="shared" si="2"/>
        <v>0</v>
      </c>
      <c r="J65" s="150"/>
      <c r="K65" s="107">
        <f t="shared" si="43"/>
        <v>0</v>
      </c>
      <c r="L65" s="107">
        <f t="shared" si="5"/>
        <v>0</v>
      </c>
      <c r="M65" s="150"/>
      <c r="N65" s="150"/>
      <c r="O65" s="108">
        <v>0</v>
      </c>
      <c r="P65" s="109">
        <f t="shared" si="27"/>
        <v>0</v>
      </c>
      <c r="Q65" s="110"/>
    </row>
    <row r="66" spans="1:22" s="43" customFormat="1" ht="27.75" customHeight="1" x14ac:dyDescent="0.3">
      <c r="A66" s="40"/>
      <c r="B66" s="44" t="s">
        <v>29</v>
      </c>
      <c r="C66" s="41"/>
      <c r="D66" s="42">
        <f>D70+D69+D68</f>
        <v>62807.991000000002</v>
      </c>
      <c r="E66" s="159">
        <f>E70+E69+E68</f>
        <v>1049510.1570000001</v>
      </c>
      <c r="F66" s="42">
        <f t="shared" si="26"/>
        <v>128823.25599999999</v>
      </c>
      <c r="G66" s="42">
        <f t="shared" ref="G66" si="49">G70+G69+G68</f>
        <v>128823.25599999999</v>
      </c>
      <c r="H66" s="42">
        <f>H70+H69+H68</f>
        <v>129035.473</v>
      </c>
      <c r="I66" s="42">
        <f t="shared" si="2"/>
        <v>-212.21700000000419</v>
      </c>
      <c r="J66" s="152">
        <f t="shared" si="3"/>
        <v>99.835535922745834</v>
      </c>
      <c r="K66" s="42">
        <f>K70+K69+K68</f>
        <v>224421.334</v>
      </c>
      <c r="L66" s="42">
        <f t="shared" si="5"/>
        <v>-95598.078000000009</v>
      </c>
      <c r="M66" s="152">
        <f t="shared" si="6"/>
        <v>57.402410770804877</v>
      </c>
      <c r="N66" s="152">
        <f t="shared" si="7"/>
        <v>12.274607838788166</v>
      </c>
      <c r="O66" s="159">
        <f t="shared" ref="O66" si="50">O70+O69+O68</f>
        <v>77177.726999999999</v>
      </c>
      <c r="P66" s="78">
        <f t="shared" si="27"/>
        <v>51645.528999999995</v>
      </c>
      <c r="Q66" s="79">
        <f>F66/O66*100</f>
        <v>166.9176600653191</v>
      </c>
    </row>
    <row r="67" spans="1:22" s="12" customFormat="1" ht="23.25" x14ac:dyDescent="0.25">
      <c r="A67" s="11"/>
      <c r="B67" s="140" t="s">
        <v>93</v>
      </c>
      <c r="C67" s="10"/>
      <c r="D67" s="113"/>
      <c r="E67" s="171"/>
      <c r="F67" s="114"/>
      <c r="G67" s="113"/>
      <c r="H67" s="113"/>
      <c r="I67" s="113"/>
      <c r="J67" s="153"/>
      <c r="K67" s="113"/>
      <c r="L67" s="113"/>
      <c r="M67" s="153"/>
      <c r="N67" s="153"/>
      <c r="O67" s="114"/>
      <c r="P67" s="82"/>
      <c r="Q67" s="83"/>
    </row>
    <row r="68" spans="1:22" s="12" customFormat="1" ht="22.5" x14ac:dyDescent="0.25">
      <c r="A68" s="11"/>
      <c r="B68" s="135" t="s">
        <v>136</v>
      </c>
      <c r="C68" s="25"/>
      <c r="D68" s="49">
        <f>D52</f>
        <v>30609.4</v>
      </c>
      <c r="E68" s="160">
        <f>E52</f>
        <v>30609.4</v>
      </c>
      <c r="F68" s="42">
        <f>SUM(G68:G68)</f>
        <v>2550.8000000000002</v>
      </c>
      <c r="G68" s="49">
        <f>G52</f>
        <v>2550.8000000000002</v>
      </c>
      <c r="H68" s="160">
        <f>H52</f>
        <v>2550.8000000000002</v>
      </c>
      <c r="I68" s="49">
        <f t="shared" ref="I68" si="51">F68-H68</f>
        <v>0</v>
      </c>
      <c r="J68" s="147">
        <f t="shared" ref="J68" si="52">F68/H68*100</f>
        <v>100</v>
      </c>
      <c r="K68" s="49">
        <f>K69+K70</f>
        <v>112210.667</v>
      </c>
      <c r="L68" s="49">
        <f t="shared" ref="L68" si="53">F68-K68</f>
        <v>-109659.867</v>
      </c>
      <c r="M68" s="147">
        <f t="shared" ref="M68" si="54">F68/K68*100</f>
        <v>2.2732241668254232</v>
      </c>
      <c r="N68" s="147">
        <f t="shared" ref="N68" si="55">F68/E68*100</f>
        <v>8.333387782837951</v>
      </c>
      <c r="O68" s="159"/>
      <c r="P68" s="82"/>
      <c r="Q68" s="83"/>
    </row>
    <row r="69" spans="1:22" s="12" customFormat="1" ht="22.5" hidden="1" x14ac:dyDescent="0.25">
      <c r="A69" s="11"/>
      <c r="B69" s="135" t="s">
        <v>107</v>
      </c>
      <c r="C69" s="25"/>
      <c r="D69" s="49"/>
      <c r="E69" s="160"/>
      <c r="F69" s="42">
        <f>SUM(G69:G69)</f>
        <v>0</v>
      </c>
      <c r="G69" s="49"/>
      <c r="H69" s="49"/>
      <c r="I69" s="49"/>
      <c r="J69" s="147"/>
      <c r="K69" s="49"/>
      <c r="L69" s="49">
        <f t="shared" si="5"/>
        <v>0</v>
      </c>
      <c r="M69" s="147"/>
      <c r="N69" s="147"/>
      <c r="O69" s="159"/>
      <c r="P69" s="82"/>
      <c r="Q69" s="83"/>
    </row>
    <row r="70" spans="1:22" s="12" customFormat="1" ht="26.25" customHeight="1" x14ac:dyDescent="0.25">
      <c r="A70" s="11"/>
      <c r="B70" s="135" t="s">
        <v>70</v>
      </c>
      <c r="C70" s="25"/>
      <c r="D70" s="49">
        <f>D71+D72</f>
        <v>32198.591</v>
      </c>
      <c r="E70" s="160">
        <f>E71+E72</f>
        <v>1018900.7570000001</v>
      </c>
      <c r="F70" s="42">
        <f>SUM(G70:G70)</f>
        <v>126272.45599999999</v>
      </c>
      <c r="G70" s="49">
        <f>G71+G72</f>
        <v>126272.45599999999</v>
      </c>
      <c r="H70" s="49">
        <f>H71+H72</f>
        <v>126484.673</v>
      </c>
      <c r="I70" s="49">
        <f t="shared" si="2"/>
        <v>-212.21700000000419</v>
      </c>
      <c r="J70" s="147">
        <f t="shared" si="3"/>
        <v>99.832219197024756</v>
      </c>
      <c r="K70" s="49">
        <f>K71+K72</f>
        <v>112210.667</v>
      </c>
      <c r="L70" s="49">
        <f t="shared" si="5"/>
        <v>14061.78899999999</v>
      </c>
      <c r="M70" s="147">
        <f t="shared" si="6"/>
        <v>112.53159737478433</v>
      </c>
      <c r="N70" s="147">
        <f t="shared" si="7"/>
        <v>12.393008360479604</v>
      </c>
      <c r="O70" s="159">
        <f>O71+O72</f>
        <v>77177.726999999999</v>
      </c>
      <c r="P70" s="82">
        <f>F70-O70</f>
        <v>49094.728999999992</v>
      </c>
      <c r="Q70" s="83">
        <f>F70/O70*100</f>
        <v>163.61256143239356</v>
      </c>
    </row>
    <row r="71" spans="1:22" s="7" customFormat="1" ht="24.75" customHeight="1" x14ac:dyDescent="0.25">
      <c r="A71" s="13"/>
      <c r="B71" s="16" t="s">
        <v>97</v>
      </c>
      <c r="C71" s="16"/>
      <c r="D71" s="112">
        <f>D54</f>
        <v>0</v>
      </c>
      <c r="E71" s="170">
        <f>E54+E53+E57</f>
        <v>993430.3</v>
      </c>
      <c r="F71" s="115">
        <f>SUM(G71:G71)</f>
        <v>123807.9</v>
      </c>
      <c r="G71" s="112">
        <f>G54+G55+G57+G56+G53</f>
        <v>123807.9</v>
      </c>
      <c r="H71" s="170">
        <f>H54+H55+H57+H56+H53</f>
        <v>123807.9</v>
      </c>
      <c r="I71" s="112">
        <f t="shared" si="2"/>
        <v>0</v>
      </c>
      <c r="J71" s="154">
        <f t="shared" si="3"/>
        <v>100</v>
      </c>
      <c r="K71" s="112">
        <f>K54+K55+K57+K56</f>
        <v>110125.5</v>
      </c>
      <c r="L71" s="112">
        <f t="shared" si="5"/>
        <v>13682.399999999994</v>
      </c>
      <c r="M71" s="154">
        <f t="shared" si="6"/>
        <v>112.42437037743302</v>
      </c>
      <c r="N71" s="154">
        <f t="shared" si="7"/>
        <v>12.462665976666907</v>
      </c>
      <c r="O71" s="115">
        <f t="shared" ref="O71" si="56">O54+O55+O57+O56</f>
        <v>75041.2</v>
      </c>
      <c r="P71" s="109">
        <f>F71-O71</f>
        <v>48766.7</v>
      </c>
      <c r="Q71" s="110">
        <f>F71/O71*100</f>
        <v>164.98656737898648</v>
      </c>
    </row>
    <row r="72" spans="1:22" s="7" customFormat="1" ht="33.75" customHeight="1" x14ac:dyDescent="0.25">
      <c r="A72" s="13"/>
      <c r="B72" s="141" t="s">
        <v>96</v>
      </c>
      <c r="C72" s="16"/>
      <c r="D72" s="112">
        <f>D58+D60</f>
        <v>32198.591</v>
      </c>
      <c r="E72" s="170">
        <f>E58+E60+E59</f>
        <v>25470.457000000002</v>
      </c>
      <c r="F72" s="115">
        <f>SUM(G72:G72)</f>
        <v>2464.556</v>
      </c>
      <c r="G72" s="112">
        <f>G58+G60+G59</f>
        <v>2464.556</v>
      </c>
      <c r="H72" s="170">
        <f>H58+H60+H59</f>
        <v>2676.7730000000001</v>
      </c>
      <c r="I72" s="112">
        <f t="shared" si="2"/>
        <v>-212.2170000000001</v>
      </c>
      <c r="J72" s="154">
        <f t="shared" si="3"/>
        <v>92.071908973977244</v>
      </c>
      <c r="K72" s="112">
        <f>K58+K60</f>
        <v>2085.1669999999999</v>
      </c>
      <c r="L72" s="112">
        <f t="shared" si="5"/>
        <v>379.38900000000012</v>
      </c>
      <c r="M72" s="154">
        <f t="shared" si="6"/>
        <v>118.19465778999955</v>
      </c>
      <c r="N72" s="154">
        <f t="shared" si="7"/>
        <v>9.6761357678034585</v>
      </c>
      <c r="O72" s="115">
        <f>O58+O60</f>
        <v>2136.527</v>
      </c>
      <c r="P72" s="109">
        <f>F72-O72</f>
        <v>328.029</v>
      </c>
      <c r="Q72" s="110">
        <f>F72/O72*100</f>
        <v>115.35337489299222</v>
      </c>
    </row>
    <row r="73" spans="1:22" s="7" customFormat="1" ht="23.25" hidden="1" x14ac:dyDescent="0.25">
      <c r="A73" s="13"/>
      <c r="B73" s="38"/>
      <c r="C73" s="16"/>
      <c r="D73" s="112"/>
      <c r="E73" s="170"/>
      <c r="F73" s="115"/>
      <c r="G73" s="112"/>
      <c r="H73" s="112"/>
      <c r="I73" s="112"/>
      <c r="J73" s="154"/>
      <c r="K73" s="112"/>
      <c r="L73" s="112"/>
      <c r="M73" s="154"/>
      <c r="N73" s="154"/>
      <c r="O73" s="115"/>
      <c r="P73" s="109"/>
      <c r="Q73" s="110"/>
    </row>
    <row r="74" spans="1:22" s="132" customFormat="1" ht="38.25" customHeight="1" x14ac:dyDescent="0.3">
      <c r="A74" s="125"/>
      <c r="B74" s="126" t="s">
        <v>28</v>
      </c>
      <c r="C74" s="127"/>
      <c r="D74" s="128">
        <f>D66+D51</f>
        <v>7652526.6669999994</v>
      </c>
      <c r="E74" s="174">
        <f>E66+E51</f>
        <v>8639228.8329999987</v>
      </c>
      <c r="F74" s="128">
        <f>SUM(G74:G74)</f>
        <v>737966.35200000019</v>
      </c>
      <c r="G74" s="128">
        <f>G66+G51</f>
        <v>737966.35200000019</v>
      </c>
      <c r="H74" s="128">
        <f>H66+H51</f>
        <v>595710.473</v>
      </c>
      <c r="I74" s="128">
        <f t="shared" si="2"/>
        <v>142255.87900000019</v>
      </c>
      <c r="J74" s="155">
        <f t="shared" si="3"/>
        <v>123.88003660294893</v>
      </c>
      <c r="K74" s="128">
        <f>K66+K51</f>
        <v>856897.89033333305</v>
      </c>
      <c r="L74" s="128">
        <f t="shared" si="5"/>
        <v>-118931.53833333286</v>
      </c>
      <c r="M74" s="155">
        <f t="shared" si="6"/>
        <v>86.120687228315091</v>
      </c>
      <c r="N74" s="155">
        <f t="shared" si="7"/>
        <v>8.542039645727721</v>
      </c>
      <c r="O74" s="174">
        <f>O66+O51</f>
        <v>585256.43200000003</v>
      </c>
      <c r="P74" s="129">
        <f>F74-O74</f>
        <v>152709.92000000016</v>
      </c>
      <c r="Q74" s="130">
        <f>F74/O74*100</f>
        <v>126.0928221631232</v>
      </c>
      <c r="R74" s="128">
        <v>492255.30200000008</v>
      </c>
      <c r="S74" s="131">
        <f>R74-O74</f>
        <v>-93001.129999999946</v>
      </c>
      <c r="V74" s="131"/>
    </row>
    <row r="75" spans="1:22" s="9" customFormat="1" ht="20.25" customHeight="1" x14ac:dyDescent="0.25">
      <c r="A75" s="211" t="s">
        <v>9</v>
      </c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3"/>
    </row>
    <row r="76" spans="1:22" s="54" customFormat="1" ht="43.5" customHeight="1" x14ac:dyDescent="0.3">
      <c r="A76" s="23">
        <v>1</v>
      </c>
      <c r="B76" s="53" t="s">
        <v>12</v>
      </c>
      <c r="C76" s="24" t="s">
        <v>21</v>
      </c>
      <c r="D76" s="111">
        <f>D77+D78</f>
        <v>119401.747</v>
      </c>
      <c r="E76" s="169">
        <f>E77+E78</f>
        <v>119401.747</v>
      </c>
      <c r="F76" s="104">
        <f t="shared" ref="F76:F93" si="57">SUM(G76:G76)</f>
        <v>9761.7610000000004</v>
      </c>
      <c r="G76" s="103">
        <f t="shared" ref="G76" si="58">G77+G78</f>
        <v>9761.7610000000004</v>
      </c>
      <c r="H76" s="103">
        <f>H77+H78</f>
        <v>9950.1460000000006</v>
      </c>
      <c r="I76" s="103">
        <f t="shared" ref="I76:I95" si="59">F76-H76</f>
        <v>-188.38500000000022</v>
      </c>
      <c r="J76" s="149">
        <f t="shared" ref="J76:J95" si="60">F76/H76*100</f>
        <v>98.106711198006536</v>
      </c>
      <c r="K76" s="103">
        <f>K77</f>
        <v>9950.145583333333</v>
      </c>
      <c r="L76" s="103">
        <f t="shared" ref="L76:L95" si="61">F76-K76</f>
        <v>-188.38458333333256</v>
      </c>
      <c r="M76" s="149">
        <f t="shared" ref="M76:M95" si="62">F76/K76*100</f>
        <v>98.106715306267674</v>
      </c>
      <c r="N76" s="149">
        <f t="shared" ref="N76:N95" si="63">F76/E76*100</f>
        <v>8.1755596088556395</v>
      </c>
      <c r="O76" s="165">
        <f t="shared" ref="O76" si="64">O77+O78</f>
        <v>12555.956</v>
      </c>
      <c r="P76" s="105">
        <f t="shared" ref="P76:P93" si="65">F76-O76</f>
        <v>-2794.1949999999997</v>
      </c>
      <c r="Q76" s="106">
        <f t="shared" ref="Q76:Q81" si="66">F76/O76*100</f>
        <v>77.746059320373533</v>
      </c>
    </row>
    <row r="77" spans="1:22" s="57" customFormat="1" ht="48" customHeight="1" x14ac:dyDescent="0.3">
      <c r="A77" s="35" t="s">
        <v>112</v>
      </c>
      <c r="B77" s="91" t="s">
        <v>108</v>
      </c>
      <c r="C77" s="16" t="s">
        <v>109</v>
      </c>
      <c r="D77" s="112">
        <v>119401.747</v>
      </c>
      <c r="E77" s="170">
        <v>119401.747</v>
      </c>
      <c r="F77" s="108">
        <f t="shared" si="57"/>
        <v>8151.5730000000003</v>
      </c>
      <c r="G77" s="107">
        <v>8151.5730000000003</v>
      </c>
      <c r="H77" s="107">
        <v>9950.1460000000006</v>
      </c>
      <c r="I77" s="107">
        <f t="shared" si="59"/>
        <v>-1798.5730000000003</v>
      </c>
      <c r="J77" s="150">
        <f t="shared" si="60"/>
        <v>81.924154680745389</v>
      </c>
      <c r="K77" s="107">
        <f>E77/12*1</f>
        <v>9950.145583333333</v>
      </c>
      <c r="L77" s="107">
        <f t="shared" si="61"/>
        <v>-1798.5725833333327</v>
      </c>
      <c r="M77" s="150">
        <f t="shared" si="62"/>
        <v>81.924158111354942</v>
      </c>
      <c r="N77" s="150">
        <f t="shared" si="63"/>
        <v>6.8270131759462451</v>
      </c>
      <c r="O77" s="108">
        <v>8700.8240000000005</v>
      </c>
      <c r="P77" s="109">
        <f t="shared" si="65"/>
        <v>-549.2510000000002</v>
      </c>
      <c r="Q77" s="110">
        <f t="shared" si="66"/>
        <v>93.687368001007727</v>
      </c>
    </row>
    <row r="78" spans="1:22" s="57" customFormat="1" ht="34.5" customHeight="1" x14ac:dyDescent="0.3">
      <c r="A78" s="35" t="s">
        <v>113</v>
      </c>
      <c r="B78" s="91" t="s">
        <v>110</v>
      </c>
      <c r="C78" s="16" t="s">
        <v>111</v>
      </c>
      <c r="D78" s="112">
        <v>0</v>
      </c>
      <c r="E78" s="170">
        <v>0</v>
      </c>
      <c r="F78" s="108">
        <f t="shared" si="57"/>
        <v>1610.1880000000001</v>
      </c>
      <c r="G78" s="107">
        <v>1610.1880000000001</v>
      </c>
      <c r="H78" s="107">
        <v>0</v>
      </c>
      <c r="I78" s="107">
        <f t="shared" si="59"/>
        <v>1610.1880000000001</v>
      </c>
      <c r="J78" s="150"/>
      <c r="K78" s="107"/>
      <c r="L78" s="107">
        <f t="shared" si="61"/>
        <v>1610.1880000000001</v>
      </c>
      <c r="M78" s="150"/>
      <c r="N78" s="150"/>
      <c r="O78" s="108">
        <v>3855.1320000000001</v>
      </c>
      <c r="P78" s="109">
        <f t="shared" si="65"/>
        <v>-2244.944</v>
      </c>
      <c r="Q78" s="110">
        <f t="shared" si="66"/>
        <v>41.767389547232106</v>
      </c>
    </row>
    <row r="79" spans="1:22" s="54" customFormat="1" ht="32.25" customHeight="1" x14ac:dyDescent="0.3">
      <c r="A79" s="23">
        <v>2</v>
      </c>
      <c r="B79" s="102" t="s">
        <v>32</v>
      </c>
      <c r="C79" s="24" t="s">
        <v>31</v>
      </c>
      <c r="D79" s="111">
        <v>4470</v>
      </c>
      <c r="E79" s="169">
        <v>4470</v>
      </c>
      <c r="F79" s="104">
        <f t="shared" si="57"/>
        <v>478.52100000000002</v>
      </c>
      <c r="G79" s="103">
        <v>478.52100000000002</v>
      </c>
      <c r="H79" s="103">
        <v>345.9</v>
      </c>
      <c r="I79" s="103">
        <f t="shared" si="59"/>
        <v>132.62100000000004</v>
      </c>
      <c r="J79" s="149">
        <f t="shared" si="60"/>
        <v>138.34084995663488</v>
      </c>
      <c r="K79" s="103">
        <f t="shared" ref="K79:K80" si="67">E79/12*1</f>
        <v>372.5</v>
      </c>
      <c r="L79" s="103">
        <f t="shared" si="61"/>
        <v>106.02100000000002</v>
      </c>
      <c r="M79" s="149">
        <f t="shared" si="62"/>
        <v>128.46201342281881</v>
      </c>
      <c r="N79" s="149">
        <f t="shared" si="63"/>
        <v>10.705167785234899</v>
      </c>
      <c r="O79" s="165">
        <v>442.51100000000002</v>
      </c>
      <c r="P79" s="105">
        <f t="shared" si="65"/>
        <v>36.009999999999991</v>
      </c>
      <c r="Q79" s="106">
        <f t="shared" si="66"/>
        <v>108.13765081545996</v>
      </c>
    </row>
    <row r="80" spans="1:22" s="54" customFormat="1" ht="43.5" customHeight="1" x14ac:dyDescent="0.3">
      <c r="A80" s="23">
        <f>A79+1</f>
        <v>3</v>
      </c>
      <c r="B80" s="53" t="s">
        <v>26</v>
      </c>
      <c r="C80" s="24" t="s">
        <v>25</v>
      </c>
      <c r="D80" s="111">
        <v>55</v>
      </c>
      <c r="E80" s="169">
        <v>55</v>
      </c>
      <c r="F80" s="104">
        <f t="shared" si="57"/>
        <v>0</v>
      </c>
      <c r="G80" s="103"/>
      <c r="H80" s="103">
        <v>0</v>
      </c>
      <c r="I80" s="103">
        <f t="shared" si="59"/>
        <v>0</v>
      </c>
      <c r="J80" s="149"/>
      <c r="K80" s="103">
        <f t="shared" si="67"/>
        <v>4.583333333333333</v>
      </c>
      <c r="L80" s="103">
        <f t="shared" si="61"/>
        <v>-4.583333333333333</v>
      </c>
      <c r="M80" s="149">
        <f t="shared" si="62"/>
        <v>0</v>
      </c>
      <c r="N80" s="149">
        <f t="shared" si="63"/>
        <v>0</v>
      </c>
      <c r="O80" s="165">
        <v>0</v>
      </c>
      <c r="P80" s="105">
        <f t="shared" si="65"/>
        <v>0</v>
      </c>
      <c r="Q80" s="106"/>
    </row>
    <row r="81" spans="1:19" s="30" customFormat="1" ht="31.5" customHeight="1" x14ac:dyDescent="0.3">
      <c r="A81" s="11">
        <f t="shared" ref="A81" si="68">A80+1</f>
        <v>4</v>
      </c>
      <c r="B81" s="15" t="s">
        <v>10</v>
      </c>
      <c r="C81" s="8"/>
      <c r="D81" s="49">
        <f>SUM(D82:D84)</f>
        <v>55050</v>
      </c>
      <c r="E81" s="160">
        <f>SUM(E82:E84)</f>
        <v>55050</v>
      </c>
      <c r="F81" s="42">
        <f t="shared" si="57"/>
        <v>17780.466</v>
      </c>
      <c r="G81" s="49">
        <f>SUM(G82:G84)</f>
        <v>17780.466</v>
      </c>
      <c r="H81" s="49">
        <f>SUM(H82:H84)</f>
        <v>14950</v>
      </c>
      <c r="I81" s="49">
        <f t="shared" si="59"/>
        <v>2830.4660000000003</v>
      </c>
      <c r="J81" s="147">
        <f t="shared" si="60"/>
        <v>118.93288294314381</v>
      </c>
      <c r="K81" s="49">
        <f>SUM(K82:K84)</f>
        <v>4587.5</v>
      </c>
      <c r="L81" s="49">
        <f t="shared" si="61"/>
        <v>13192.966</v>
      </c>
      <c r="M81" s="147">
        <f t="shared" si="62"/>
        <v>387.58508991825613</v>
      </c>
      <c r="N81" s="147">
        <f t="shared" si="63"/>
        <v>32.298757493188013</v>
      </c>
      <c r="O81" s="159">
        <f>SUM(O82:O84)</f>
        <v>7105.0069999999996</v>
      </c>
      <c r="P81" s="82">
        <f t="shared" si="65"/>
        <v>10675.459000000001</v>
      </c>
      <c r="Q81" s="83">
        <f t="shared" si="66"/>
        <v>250.25261762585177</v>
      </c>
      <c r="R81" s="55"/>
    </row>
    <row r="82" spans="1:19" s="57" customFormat="1" ht="32.25" customHeight="1" x14ac:dyDescent="0.3">
      <c r="A82" s="13" t="s">
        <v>115</v>
      </c>
      <c r="B82" s="91" t="s">
        <v>128</v>
      </c>
      <c r="C82" s="16" t="s">
        <v>45</v>
      </c>
      <c r="D82" s="112">
        <v>0</v>
      </c>
      <c r="E82" s="170">
        <v>0</v>
      </c>
      <c r="F82" s="108">
        <f t="shared" si="57"/>
        <v>4</v>
      </c>
      <c r="G82" s="107">
        <v>4</v>
      </c>
      <c r="H82" s="107">
        <v>0</v>
      </c>
      <c r="I82" s="107">
        <f t="shared" si="59"/>
        <v>4</v>
      </c>
      <c r="J82" s="150"/>
      <c r="K82" s="107">
        <f t="shared" ref="K82:K85" si="69">E82/12*1</f>
        <v>0</v>
      </c>
      <c r="L82" s="107">
        <f t="shared" si="61"/>
        <v>4</v>
      </c>
      <c r="M82" s="150"/>
      <c r="N82" s="150"/>
      <c r="O82" s="108">
        <v>0</v>
      </c>
      <c r="P82" s="109">
        <f t="shared" si="65"/>
        <v>4</v>
      </c>
      <c r="Q82" s="110"/>
    </row>
    <row r="83" spans="1:19" s="57" customFormat="1" ht="30" customHeight="1" x14ac:dyDescent="0.3">
      <c r="A83" s="13" t="s">
        <v>116</v>
      </c>
      <c r="B83" s="91" t="s">
        <v>37</v>
      </c>
      <c r="C83" s="16" t="s">
        <v>22</v>
      </c>
      <c r="D83" s="112">
        <v>4050</v>
      </c>
      <c r="E83" s="170">
        <v>4050</v>
      </c>
      <c r="F83" s="108">
        <f t="shared" si="57"/>
        <v>5500</v>
      </c>
      <c r="G83" s="107">
        <v>5500</v>
      </c>
      <c r="H83" s="107">
        <v>4050</v>
      </c>
      <c r="I83" s="107">
        <f t="shared" si="59"/>
        <v>1450</v>
      </c>
      <c r="J83" s="154">
        <f t="shared" si="60"/>
        <v>135.80246913580248</v>
      </c>
      <c r="K83" s="107">
        <f t="shared" si="69"/>
        <v>337.5</v>
      </c>
      <c r="L83" s="107">
        <f t="shared" si="61"/>
        <v>5162.5</v>
      </c>
      <c r="M83" s="150">
        <f t="shared" si="62"/>
        <v>1629.6296296296298</v>
      </c>
      <c r="N83" s="150">
        <f t="shared" si="63"/>
        <v>135.80246913580248</v>
      </c>
      <c r="O83" s="108">
        <v>0</v>
      </c>
      <c r="P83" s="109">
        <f t="shared" si="65"/>
        <v>5500</v>
      </c>
      <c r="Q83" s="110"/>
    </row>
    <row r="84" spans="1:19" s="56" customFormat="1" ht="30" customHeight="1" x14ac:dyDescent="0.3">
      <c r="A84" s="13" t="s">
        <v>157</v>
      </c>
      <c r="B84" s="38" t="s">
        <v>65</v>
      </c>
      <c r="C84" s="16" t="s">
        <v>43</v>
      </c>
      <c r="D84" s="112">
        <v>51000</v>
      </c>
      <c r="E84" s="170">
        <v>51000</v>
      </c>
      <c r="F84" s="115">
        <f t="shared" si="57"/>
        <v>12276.466</v>
      </c>
      <c r="G84" s="112">
        <v>12276.466</v>
      </c>
      <c r="H84" s="112">
        <v>10900</v>
      </c>
      <c r="I84" s="112">
        <f t="shared" si="59"/>
        <v>1376.4660000000003</v>
      </c>
      <c r="J84" s="154">
        <f t="shared" si="60"/>
        <v>112.62812844036698</v>
      </c>
      <c r="K84" s="112">
        <f t="shared" si="69"/>
        <v>4250</v>
      </c>
      <c r="L84" s="112">
        <f t="shared" si="61"/>
        <v>8026.4660000000003</v>
      </c>
      <c r="M84" s="154">
        <f t="shared" si="62"/>
        <v>288.85802352941175</v>
      </c>
      <c r="N84" s="154">
        <f t="shared" si="63"/>
        <v>24.071501960784314</v>
      </c>
      <c r="O84" s="115">
        <v>7105.0069999999996</v>
      </c>
      <c r="P84" s="109">
        <f t="shared" si="65"/>
        <v>5171.4590000000007</v>
      </c>
      <c r="Q84" s="110">
        <f>F84/O84*100</f>
        <v>172.78612111149224</v>
      </c>
    </row>
    <row r="85" spans="1:19" s="54" customFormat="1" ht="33" customHeight="1" x14ac:dyDescent="0.3">
      <c r="A85" s="23">
        <v>5</v>
      </c>
      <c r="B85" s="102" t="s">
        <v>11</v>
      </c>
      <c r="C85" s="24" t="s">
        <v>23</v>
      </c>
      <c r="D85" s="111">
        <v>11000</v>
      </c>
      <c r="E85" s="169">
        <v>11000</v>
      </c>
      <c r="F85" s="104">
        <f t="shared" si="57"/>
        <v>557.09799999999996</v>
      </c>
      <c r="G85" s="103">
        <v>557.09799999999996</v>
      </c>
      <c r="H85" s="103">
        <v>500</v>
      </c>
      <c r="I85" s="103">
        <f t="shared" si="59"/>
        <v>57.097999999999956</v>
      </c>
      <c r="J85" s="149">
        <f t="shared" si="60"/>
        <v>111.4196</v>
      </c>
      <c r="K85" s="103">
        <f t="shared" si="69"/>
        <v>916.66666666666663</v>
      </c>
      <c r="L85" s="103">
        <f t="shared" si="61"/>
        <v>-359.56866666666667</v>
      </c>
      <c r="M85" s="149">
        <f t="shared" si="62"/>
        <v>60.77432727272727</v>
      </c>
      <c r="N85" s="149">
        <f t="shared" si="63"/>
        <v>5.0645272727272728</v>
      </c>
      <c r="O85" s="165">
        <v>1070.625</v>
      </c>
      <c r="P85" s="105">
        <f t="shared" si="65"/>
        <v>-513.52700000000004</v>
      </c>
      <c r="Q85" s="106">
        <f>F85/O85*100</f>
        <v>52.034839462930528</v>
      </c>
    </row>
    <row r="86" spans="1:19" s="47" customFormat="1" ht="39" customHeight="1" x14ac:dyDescent="0.3">
      <c r="A86" s="45"/>
      <c r="B86" s="76" t="s">
        <v>149</v>
      </c>
      <c r="C86" s="46"/>
      <c r="D86" s="42">
        <f>D76+D79+D80+D82+D83+D84+D85</f>
        <v>189976.747</v>
      </c>
      <c r="E86" s="159">
        <f>E76+E79+E80+E82+E83+E84+E85</f>
        <v>189976.747</v>
      </c>
      <c r="F86" s="42">
        <f t="shared" si="57"/>
        <v>28577.845999999998</v>
      </c>
      <c r="G86" s="42">
        <f>G76+G79+G80+G82+G83+G84+G85</f>
        <v>28577.845999999998</v>
      </c>
      <c r="H86" s="42">
        <f>H76+H79+H80+H82+H83+H84+H85</f>
        <v>25746.046000000002</v>
      </c>
      <c r="I86" s="42">
        <f t="shared" si="59"/>
        <v>2831.7999999999956</v>
      </c>
      <c r="J86" s="152">
        <f t="shared" si="60"/>
        <v>110.99897048269081</v>
      </c>
      <c r="K86" s="42">
        <f>K76+K79+K80+K82+K83+K84+K85</f>
        <v>15831.395583333333</v>
      </c>
      <c r="L86" s="42">
        <f t="shared" si="61"/>
        <v>12746.450416666665</v>
      </c>
      <c r="M86" s="152">
        <f t="shared" si="62"/>
        <v>180.51375098027128</v>
      </c>
      <c r="N86" s="152">
        <f t="shared" si="63"/>
        <v>15.042812581689272</v>
      </c>
      <c r="O86" s="159">
        <f>O76+O79+O80+O82+O83+O84+O85</f>
        <v>21174.099000000002</v>
      </c>
      <c r="P86" s="78">
        <f t="shared" si="65"/>
        <v>7403.7469999999958</v>
      </c>
      <c r="Q86" s="79">
        <f>F86/O86*100</f>
        <v>134.9660545178333</v>
      </c>
    </row>
    <row r="87" spans="1:19" s="26" customFormat="1" ht="78" hidden="1" x14ac:dyDescent="0.25">
      <c r="A87" s="23">
        <v>1</v>
      </c>
      <c r="B87" s="53" t="s">
        <v>143</v>
      </c>
      <c r="C87" s="24" t="s">
        <v>69</v>
      </c>
      <c r="D87" s="111"/>
      <c r="E87" s="169"/>
      <c r="F87" s="116">
        <f t="shared" si="57"/>
        <v>0</v>
      </c>
      <c r="G87" s="111"/>
      <c r="H87" s="111"/>
      <c r="I87" s="111">
        <f t="shared" si="59"/>
        <v>0</v>
      </c>
      <c r="J87" s="117"/>
      <c r="K87" s="111">
        <f>H87</f>
        <v>0</v>
      </c>
      <c r="L87" s="111">
        <f t="shared" si="61"/>
        <v>0</v>
      </c>
      <c r="M87" s="117"/>
      <c r="N87" s="117"/>
      <c r="O87" s="116"/>
      <c r="P87" s="105">
        <f t="shared" si="65"/>
        <v>0</v>
      </c>
      <c r="Q87" s="106"/>
    </row>
    <row r="88" spans="1:19" s="26" customFormat="1" ht="44.25" hidden="1" customHeight="1" x14ac:dyDescent="0.25">
      <c r="A88" s="23">
        <v>1</v>
      </c>
      <c r="B88" s="53" t="s">
        <v>155</v>
      </c>
      <c r="C88" s="24" t="s">
        <v>156</v>
      </c>
      <c r="D88" s="111"/>
      <c r="E88" s="169"/>
      <c r="F88" s="116">
        <f t="shared" si="57"/>
        <v>0</v>
      </c>
      <c r="G88" s="111"/>
      <c r="H88" s="111"/>
      <c r="I88" s="111">
        <f t="shared" si="59"/>
        <v>0</v>
      </c>
      <c r="J88" s="117"/>
      <c r="K88" s="111">
        <f>H88</f>
        <v>0</v>
      </c>
      <c r="L88" s="111">
        <f t="shared" si="61"/>
        <v>0</v>
      </c>
      <c r="M88" s="117"/>
      <c r="N88" s="117"/>
      <c r="O88" s="116"/>
      <c r="P88" s="105">
        <f t="shared" si="65"/>
        <v>0</v>
      </c>
      <c r="Q88" s="106"/>
    </row>
    <row r="89" spans="1:19" s="26" customFormat="1" ht="23.25" x14ac:dyDescent="0.25">
      <c r="A89" s="23"/>
      <c r="B89" s="53"/>
      <c r="C89" s="24"/>
      <c r="D89" s="169"/>
      <c r="E89" s="169"/>
      <c r="F89" s="116"/>
      <c r="G89" s="169"/>
      <c r="H89" s="169"/>
      <c r="I89" s="169"/>
      <c r="J89" s="117"/>
      <c r="K89" s="169"/>
      <c r="L89" s="169"/>
      <c r="M89" s="117"/>
      <c r="N89" s="117"/>
      <c r="O89" s="116"/>
      <c r="P89" s="166"/>
      <c r="Q89" s="167"/>
    </row>
    <row r="90" spans="1:19" s="43" customFormat="1" ht="31.5" customHeight="1" x14ac:dyDescent="0.3">
      <c r="A90" s="40"/>
      <c r="B90" s="44" t="s">
        <v>27</v>
      </c>
      <c r="C90" s="46"/>
      <c r="D90" s="42">
        <f>D91</f>
        <v>0</v>
      </c>
      <c r="E90" s="159">
        <f>E91</f>
        <v>0</v>
      </c>
      <c r="F90" s="42">
        <f t="shared" si="57"/>
        <v>0</v>
      </c>
      <c r="G90" s="42">
        <f>G91</f>
        <v>0</v>
      </c>
      <c r="H90" s="42">
        <f>H91</f>
        <v>0</v>
      </c>
      <c r="I90" s="42">
        <f t="shared" si="59"/>
        <v>0</v>
      </c>
      <c r="J90" s="152"/>
      <c r="K90" s="42" t="e">
        <f>K91+#REF!</f>
        <v>#REF!</v>
      </c>
      <c r="L90" s="42" t="e">
        <f t="shared" si="61"/>
        <v>#REF!</v>
      </c>
      <c r="M90" s="152"/>
      <c r="N90" s="152"/>
      <c r="O90" s="159">
        <f>O91</f>
        <v>0</v>
      </c>
      <c r="P90" s="78">
        <f t="shared" si="65"/>
        <v>0</v>
      </c>
      <c r="Q90" s="79"/>
    </row>
    <row r="91" spans="1:19" s="148" customFormat="1" ht="36" customHeight="1" x14ac:dyDescent="0.25">
      <c r="A91" s="33"/>
      <c r="B91" s="146" t="s">
        <v>70</v>
      </c>
      <c r="C91" s="25"/>
      <c r="D91" s="49">
        <f>D92+D93</f>
        <v>0</v>
      </c>
      <c r="E91" s="160">
        <f>E92+E93</f>
        <v>0</v>
      </c>
      <c r="F91" s="42">
        <f t="shared" si="57"/>
        <v>0</v>
      </c>
      <c r="G91" s="49">
        <f>G92+G93</f>
        <v>0</v>
      </c>
      <c r="H91" s="49">
        <f>H92+H93</f>
        <v>0</v>
      </c>
      <c r="I91" s="49">
        <f t="shared" si="59"/>
        <v>0</v>
      </c>
      <c r="J91" s="147"/>
      <c r="K91" s="49">
        <f>K92+K93</f>
        <v>0</v>
      </c>
      <c r="L91" s="49">
        <f t="shared" si="61"/>
        <v>0</v>
      </c>
      <c r="M91" s="147"/>
      <c r="N91" s="147"/>
      <c r="O91" s="159">
        <f>O92+O93</f>
        <v>0</v>
      </c>
      <c r="P91" s="82">
        <f t="shared" si="65"/>
        <v>0</v>
      </c>
      <c r="Q91" s="83"/>
    </row>
    <row r="92" spans="1:19" s="7" customFormat="1" ht="31.5" customHeight="1" x14ac:dyDescent="0.25">
      <c r="A92" s="13"/>
      <c r="B92" s="16" t="s">
        <v>97</v>
      </c>
      <c r="C92" s="16"/>
      <c r="D92" s="112">
        <f>D87</f>
        <v>0</v>
      </c>
      <c r="E92" s="170">
        <f>E87</f>
        <v>0</v>
      </c>
      <c r="F92" s="115">
        <f t="shared" si="57"/>
        <v>0</v>
      </c>
      <c r="G92" s="112">
        <f>G87</f>
        <v>0</v>
      </c>
      <c r="H92" s="112">
        <f>H87</f>
        <v>0</v>
      </c>
      <c r="I92" s="112">
        <f t="shared" si="59"/>
        <v>0</v>
      </c>
      <c r="J92" s="154"/>
      <c r="K92" s="112">
        <f>K87</f>
        <v>0</v>
      </c>
      <c r="L92" s="112">
        <f t="shared" si="61"/>
        <v>0</v>
      </c>
      <c r="M92" s="154"/>
      <c r="N92" s="154"/>
      <c r="O92" s="115">
        <f>O87</f>
        <v>0</v>
      </c>
      <c r="P92" s="109">
        <f t="shared" si="65"/>
        <v>0</v>
      </c>
      <c r="Q92" s="110"/>
    </row>
    <row r="93" spans="1:19" s="7" customFormat="1" ht="31.5" customHeight="1" x14ac:dyDescent="0.25">
      <c r="A93" s="13"/>
      <c r="B93" s="141" t="s">
        <v>96</v>
      </c>
      <c r="C93" s="16"/>
      <c r="D93" s="112"/>
      <c r="E93" s="170"/>
      <c r="F93" s="115">
        <f t="shared" si="57"/>
        <v>0</v>
      </c>
      <c r="G93" s="112"/>
      <c r="H93" s="112"/>
      <c r="I93" s="112">
        <f t="shared" si="59"/>
        <v>0</v>
      </c>
      <c r="J93" s="154"/>
      <c r="K93" s="112"/>
      <c r="L93" s="112">
        <f t="shared" si="61"/>
        <v>0</v>
      </c>
      <c r="M93" s="154"/>
      <c r="N93" s="154"/>
      <c r="O93" s="115"/>
      <c r="P93" s="109">
        <f t="shared" si="65"/>
        <v>0</v>
      </c>
      <c r="Q93" s="110"/>
    </row>
    <row r="94" spans="1:19" s="148" customFormat="1" ht="22.5" x14ac:dyDescent="0.25">
      <c r="A94" s="33"/>
      <c r="B94" s="146"/>
      <c r="C94" s="25"/>
      <c r="D94" s="49"/>
      <c r="E94" s="160"/>
      <c r="F94" s="42"/>
      <c r="G94" s="49"/>
      <c r="H94" s="49"/>
      <c r="I94" s="49"/>
      <c r="J94" s="147"/>
      <c r="K94" s="49"/>
      <c r="L94" s="49"/>
      <c r="M94" s="147"/>
      <c r="N94" s="147"/>
      <c r="O94" s="159"/>
      <c r="P94" s="82"/>
      <c r="Q94" s="83"/>
    </row>
    <row r="95" spans="1:19" s="132" customFormat="1" ht="29.25" customHeight="1" x14ac:dyDescent="0.3">
      <c r="A95" s="125"/>
      <c r="B95" s="126" t="s">
        <v>42</v>
      </c>
      <c r="C95" s="133"/>
      <c r="D95" s="128">
        <f>D86+D90</f>
        <v>189976.747</v>
      </c>
      <c r="E95" s="172">
        <f>E86+E90</f>
        <v>189976.747</v>
      </c>
      <c r="F95" s="128">
        <f>SUM(G95:G95)</f>
        <v>28577.845999999998</v>
      </c>
      <c r="G95" s="128">
        <f>G86+G90</f>
        <v>28577.845999999998</v>
      </c>
      <c r="H95" s="128">
        <f>H86+H90</f>
        <v>25746.046000000002</v>
      </c>
      <c r="I95" s="128">
        <f t="shared" si="59"/>
        <v>2831.7999999999956</v>
      </c>
      <c r="J95" s="155">
        <f t="shared" si="60"/>
        <v>110.99897048269081</v>
      </c>
      <c r="K95" s="128" t="e">
        <f>K86+K90</f>
        <v>#REF!</v>
      </c>
      <c r="L95" s="128" t="e">
        <f t="shared" si="61"/>
        <v>#REF!</v>
      </c>
      <c r="M95" s="155" t="e">
        <f t="shared" si="62"/>
        <v>#REF!</v>
      </c>
      <c r="N95" s="155">
        <f t="shared" si="63"/>
        <v>15.042812581689272</v>
      </c>
      <c r="O95" s="174">
        <f>O86+O90</f>
        <v>21174.099000000002</v>
      </c>
      <c r="P95" s="129">
        <f>F95-O95</f>
        <v>7403.7469999999958</v>
      </c>
      <c r="Q95" s="130">
        <f>F95/O95*100</f>
        <v>134.9660545178333</v>
      </c>
      <c r="R95" s="128">
        <v>64833.02900000001</v>
      </c>
      <c r="S95" s="128">
        <f>R95-O95</f>
        <v>43658.930000000008</v>
      </c>
    </row>
    <row r="96" spans="1:19" s="12" customFormat="1" ht="26.25" customHeight="1" x14ac:dyDescent="0.25">
      <c r="A96" s="208" t="s">
        <v>41</v>
      </c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10"/>
    </row>
    <row r="97" spans="1:19" s="132" customFormat="1" ht="36" customHeight="1" x14ac:dyDescent="0.3">
      <c r="A97" s="134"/>
      <c r="B97" s="126" t="s">
        <v>151</v>
      </c>
      <c r="C97" s="133"/>
      <c r="D97" s="128">
        <f>D51+D86</f>
        <v>7779695.4229999995</v>
      </c>
      <c r="E97" s="172">
        <f>E51+E86</f>
        <v>7779695.4229999995</v>
      </c>
      <c r="F97" s="128">
        <f>SUM(G97:G97)</f>
        <v>637720.94200000016</v>
      </c>
      <c r="G97" s="128">
        <f>G51+G86</f>
        <v>637720.94200000016</v>
      </c>
      <c r="H97" s="128">
        <f>H51+H86</f>
        <v>492421.04599999997</v>
      </c>
      <c r="I97" s="128">
        <f t="shared" ref="I97:I108" si="70">F97-H97</f>
        <v>145299.89600000018</v>
      </c>
      <c r="J97" s="155">
        <f t="shared" ref="J97:J108" si="71">F97/H97*100</f>
        <v>129.50724734052091</v>
      </c>
      <c r="K97" s="128">
        <f>K51+K86</f>
        <v>648307.95191666635</v>
      </c>
      <c r="L97" s="128">
        <f t="shared" ref="L97:L108" si="72">F97-K97</f>
        <v>-10587.009916666197</v>
      </c>
      <c r="M97" s="155">
        <f t="shared" ref="M97:M108" si="73">F97/K97*100</f>
        <v>98.366978241533729</v>
      </c>
      <c r="N97" s="155">
        <f t="shared" ref="N97:N108" si="74">F97/E97*100</f>
        <v>8.1972481867944751</v>
      </c>
      <c r="O97" s="128">
        <f>O51+O86</f>
        <v>529252.80400000012</v>
      </c>
      <c r="P97" s="129">
        <f>F97-O97</f>
        <v>108468.13800000004</v>
      </c>
      <c r="Q97" s="130">
        <f>F97/O97*100</f>
        <v>120.49457975096529</v>
      </c>
    </row>
    <row r="98" spans="1:19" s="30" customFormat="1" ht="22.5" hidden="1" customHeight="1" x14ac:dyDescent="0.3">
      <c r="A98" s="142"/>
      <c r="B98" s="15"/>
      <c r="C98" s="25"/>
      <c r="D98" s="49"/>
      <c r="E98" s="160"/>
      <c r="F98" s="42"/>
      <c r="G98" s="49"/>
      <c r="H98" s="49"/>
      <c r="I98" s="49"/>
      <c r="J98" s="147"/>
      <c r="K98" s="49"/>
      <c r="L98" s="49"/>
      <c r="M98" s="147"/>
      <c r="N98" s="147"/>
      <c r="O98" s="42"/>
      <c r="P98" s="82"/>
      <c r="Q98" s="83"/>
    </row>
    <row r="99" spans="1:19" s="182" customFormat="1" ht="32.25" hidden="1" customHeight="1" x14ac:dyDescent="0.3">
      <c r="A99" s="175"/>
      <c r="B99" s="176" t="s">
        <v>66</v>
      </c>
      <c r="C99" s="24"/>
      <c r="D99" s="177">
        <v>-531278.1</v>
      </c>
      <c r="E99" s="177">
        <v>-531278.1</v>
      </c>
      <c r="F99" s="178">
        <f>SUM(G99:G99)</f>
        <v>-44273.2</v>
      </c>
      <c r="G99" s="177">
        <v>-44273.2</v>
      </c>
      <c r="H99" s="177">
        <v>-44273.2</v>
      </c>
      <c r="I99" s="177">
        <f t="shared" si="70"/>
        <v>0</v>
      </c>
      <c r="J99" s="179">
        <f t="shared" ref="J99" si="75">F99/H99*100</f>
        <v>100</v>
      </c>
      <c r="K99" s="177">
        <f>K55+K88</f>
        <v>0</v>
      </c>
      <c r="L99" s="177">
        <f t="shared" si="72"/>
        <v>-44273.2</v>
      </c>
      <c r="M99" s="179" t="e">
        <f t="shared" ref="M99" si="76">F99/K99*100</f>
        <v>#DIV/0!</v>
      </c>
      <c r="N99" s="179">
        <f t="shared" ref="N99" si="77">F99/E99*100</f>
        <v>8.3333380389667848</v>
      </c>
      <c r="O99" s="178"/>
      <c r="P99" s="180">
        <f>F99-O99</f>
        <v>-44273.2</v>
      </c>
      <c r="Q99" s="181"/>
    </row>
    <row r="100" spans="1:19" s="30" customFormat="1" ht="22.5" hidden="1" customHeight="1" x14ac:dyDescent="0.3">
      <c r="A100" s="11"/>
      <c r="B100" s="15"/>
      <c r="C100" s="25"/>
      <c r="D100" s="49"/>
      <c r="E100" s="160"/>
      <c r="F100" s="42"/>
      <c r="G100" s="49"/>
      <c r="H100" s="49"/>
      <c r="I100" s="49"/>
      <c r="J100" s="147"/>
      <c r="K100" s="49"/>
      <c r="L100" s="49"/>
      <c r="M100" s="147"/>
      <c r="N100" s="147"/>
      <c r="O100" s="42"/>
      <c r="P100" s="82"/>
      <c r="Q100" s="83"/>
    </row>
    <row r="101" spans="1:19" s="30" customFormat="1" ht="22.5" customHeight="1" x14ac:dyDescent="0.3">
      <c r="A101" s="11"/>
      <c r="B101" s="15"/>
      <c r="C101" s="25"/>
      <c r="D101" s="160"/>
      <c r="E101" s="160"/>
      <c r="F101" s="159"/>
      <c r="G101" s="160"/>
      <c r="H101" s="160"/>
      <c r="I101" s="160"/>
      <c r="J101" s="147"/>
      <c r="K101" s="160"/>
      <c r="L101" s="160"/>
      <c r="M101" s="147"/>
      <c r="N101" s="147"/>
      <c r="O101" s="159"/>
      <c r="P101" s="82"/>
      <c r="Q101" s="83"/>
    </row>
    <row r="102" spans="1:19" s="43" customFormat="1" ht="32.25" customHeight="1" x14ac:dyDescent="0.3">
      <c r="A102" s="40"/>
      <c r="B102" s="44" t="s">
        <v>27</v>
      </c>
      <c r="C102" s="46"/>
      <c r="D102" s="42">
        <f>D103+D104+D105</f>
        <v>62807.991000000002</v>
      </c>
      <c r="E102" s="159">
        <f>E103+E104+E105</f>
        <v>1049510.1570000001</v>
      </c>
      <c r="F102" s="42">
        <f t="shared" ref="F102:F108" si="78">SUM(G102:G102)</f>
        <v>128823.25599999999</v>
      </c>
      <c r="G102" s="42">
        <f t="shared" ref="G102:H102" si="79">G103+G104+G105</f>
        <v>128823.25599999999</v>
      </c>
      <c r="H102" s="42">
        <f t="shared" si="79"/>
        <v>129035.473</v>
      </c>
      <c r="I102" s="42">
        <f t="shared" si="70"/>
        <v>-212.21700000000419</v>
      </c>
      <c r="J102" s="152">
        <f t="shared" si="71"/>
        <v>99.835535922745834</v>
      </c>
      <c r="K102" s="42" t="e">
        <f>K103+K104+K105+#REF!</f>
        <v>#REF!</v>
      </c>
      <c r="L102" s="42" t="e">
        <f t="shared" si="72"/>
        <v>#REF!</v>
      </c>
      <c r="M102" s="152" t="e">
        <f t="shared" si="73"/>
        <v>#REF!</v>
      </c>
      <c r="N102" s="152">
        <f t="shared" si="74"/>
        <v>12.274607838788166</v>
      </c>
      <c r="O102" s="42">
        <f>O103+O104+O105</f>
        <v>77177.726999999999</v>
      </c>
      <c r="P102" s="78">
        <f t="shared" ref="P102:P108" si="80">F102-O102</f>
        <v>51645.528999999995</v>
      </c>
      <c r="Q102" s="79">
        <f>F102/O102*100</f>
        <v>166.9176600653191</v>
      </c>
    </row>
    <row r="103" spans="1:19" s="50" customFormat="1" ht="22.5" hidden="1" customHeight="1" x14ac:dyDescent="0.3">
      <c r="A103" s="136"/>
      <c r="B103" s="135" t="s">
        <v>136</v>
      </c>
      <c r="C103" s="48"/>
      <c r="D103" s="49">
        <f>D68</f>
        <v>30609.4</v>
      </c>
      <c r="E103" s="160">
        <f>E68</f>
        <v>30609.4</v>
      </c>
      <c r="F103" s="42">
        <f t="shared" si="78"/>
        <v>2550.8000000000002</v>
      </c>
      <c r="G103" s="49">
        <f>G68</f>
        <v>2550.8000000000002</v>
      </c>
      <c r="H103" s="49">
        <f>H68</f>
        <v>2550.8000000000002</v>
      </c>
      <c r="I103" s="49">
        <f t="shared" si="70"/>
        <v>0</v>
      </c>
      <c r="J103" s="147"/>
      <c r="K103" s="49">
        <f>K68</f>
        <v>112210.667</v>
      </c>
      <c r="L103" s="49">
        <f t="shared" si="72"/>
        <v>-109659.867</v>
      </c>
      <c r="M103" s="147"/>
      <c r="N103" s="147"/>
      <c r="O103" s="42">
        <f>O68</f>
        <v>0</v>
      </c>
      <c r="P103" s="82">
        <f t="shared" si="80"/>
        <v>2550.8000000000002</v>
      </c>
      <c r="Q103" s="83"/>
    </row>
    <row r="104" spans="1:19" s="50" customFormat="1" ht="22.5" hidden="1" customHeight="1" x14ac:dyDescent="0.3">
      <c r="A104" s="136"/>
      <c r="B104" s="135" t="s">
        <v>107</v>
      </c>
      <c r="C104" s="48"/>
      <c r="D104" s="49">
        <f>D69</f>
        <v>0</v>
      </c>
      <c r="E104" s="160">
        <f>E69</f>
        <v>0</v>
      </c>
      <c r="F104" s="42">
        <f t="shared" si="78"/>
        <v>0</v>
      </c>
      <c r="G104" s="49">
        <f>G69</f>
        <v>0</v>
      </c>
      <c r="H104" s="49">
        <f>H69</f>
        <v>0</v>
      </c>
      <c r="I104" s="49">
        <f t="shared" si="70"/>
        <v>0</v>
      </c>
      <c r="J104" s="147"/>
      <c r="K104" s="49">
        <f>K69</f>
        <v>0</v>
      </c>
      <c r="L104" s="49">
        <f t="shared" si="72"/>
        <v>0</v>
      </c>
      <c r="M104" s="147"/>
      <c r="N104" s="147"/>
      <c r="O104" s="42">
        <f>O69</f>
        <v>0</v>
      </c>
      <c r="P104" s="82">
        <f t="shared" si="80"/>
        <v>0</v>
      </c>
      <c r="Q104" s="83"/>
    </row>
    <row r="105" spans="1:19" s="50" customFormat="1" ht="37.5" customHeight="1" x14ac:dyDescent="0.3">
      <c r="A105" s="136"/>
      <c r="B105" s="51" t="s">
        <v>70</v>
      </c>
      <c r="C105" s="48"/>
      <c r="D105" s="49">
        <f>D106+D107</f>
        <v>32198.591</v>
      </c>
      <c r="E105" s="160">
        <f>E106+E107</f>
        <v>1018900.7570000001</v>
      </c>
      <c r="F105" s="42">
        <f t="shared" si="78"/>
        <v>126272.45599999999</v>
      </c>
      <c r="G105" s="49">
        <f t="shared" ref="G105:H105" si="81">G106+G107</f>
        <v>126272.45599999999</v>
      </c>
      <c r="H105" s="49">
        <f t="shared" si="81"/>
        <v>126484.673</v>
      </c>
      <c r="I105" s="49">
        <f t="shared" si="70"/>
        <v>-212.21700000000419</v>
      </c>
      <c r="J105" s="147">
        <f t="shared" si="71"/>
        <v>99.832219197024756</v>
      </c>
      <c r="K105" s="49">
        <f t="shared" ref="K105" si="82">K106+K107</f>
        <v>112210.667</v>
      </c>
      <c r="L105" s="49">
        <f t="shared" si="72"/>
        <v>14061.78899999999</v>
      </c>
      <c r="M105" s="147">
        <f t="shared" si="73"/>
        <v>112.53159737478433</v>
      </c>
      <c r="N105" s="147">
        <f t="shared" si="74"/>
        <v>12.393008360479604</v>
      </c>
      <c r="O105" s="42">
        <f t="shared" ref="O105" si="83">O106+O107</f>
        <v>77177.726999999999</v>
      </c>
      <c r="P105" s="82">
        <f t="shared" si="80"/>
        <v>49094.728999999992</v>
      </c>
      <c r="Q105" s="83">
        <f>F105/O105*100</f>
        <v>163.61256143239356</v>
      </c>
    </row>
    <row r="106" spans="1:19" s="139" customFormat="1" ht="34.5" customHeight="1" x14ac:dyDescent="0.35">
      <c r="A106" s="137"/>
      <c r="B106" s="138" t="s">
        <v>97</v>
      </c>
      <c r="C106" s="138"/>
      <c r="D106" s="112">
        <f>D71+D92</f>
        <v>0</v>
      </c>
      <c r="E106" s="170">
        <f>E71+E92</f>
        <v>993430.3</v>
      </c>
      <c r="F106" s="115">
        <f t="shared" si="78"/>
        <v>123807.9</v>
      </c>
      <c r="G106" s="112">
        <f>G71+G92</f>
        <v>123807.9</v>
      </c>
      <c r="H106" s="112">
        <f>H71+H92</f>
        <v>123807.9</v>
      </c>
      <c r="I106" s="112">
        <f t="shared" si="70"/>
        <v>0</v>
      </c>
      <c r="J106" s="154">
        <f t="shared" si="71"/>
        <v>100</v>
      </c>
      <c r="K106" s="112">
        <f>K71+K92</f>
        <v>110125.5</v>
      </c>
      <c r="L106" s="112">
        <f t="shared" si="72"/>
        <v>13682.399999999994</v>
      </c>
      <c r="M106" s="154">
        <f t="shared" si="73"/>
        <v>112.42437037743302</v>
      </c>
      <c r="N106" s="154">
        <f t="shared" si="74"/>
        <v>12.462665976666907</v>
      </c>
      <c r="O106" s="115">
        <f>O71+O92</f>
        <v>75041.2</v>
      </c>
      <c r="P106" s="109">
        <f t="shared" si="80"/>
        <v>48766.7</v>
      </c>
      <c r="Q106" s="110">
        <f>F106/O106*100</f>
        <v>164.98656737898648</v>
      </c>
    </row>
    <row r="107" spans="1:19" s="139" customFormat="1" ht="34.5" customHeight="1" x14ac:dyDescent="0.35">
      <c r="A107" s="137"/>
      <c r="B107" s="138" t="s">
        <v>96</v>
      </c>
      <c r="C107" s="138"/>
      <c r="D107" s="112">
        <f>D93+D72</f>
        <v>32198.591</v>
      </c>
      <c r="E107" s="170">
        <f>E93+E72</f>
        <v>25470.457000000002</v>
      </c>
      <c r="F107" s="115">
        <f t="shared" si="78"/>
        <v>2464.556</v>
      </c>
      <c r="G107" s="112">
        <f>G93+G72</f>
        <v>2464.556</v>
      </c>
      <c r="H107" s="112">
        <f>H93+H72</f>
        <v>2676.7730000000001</v>
      </c>
      <c r="I107" s="112">
        <f t="shared" si="70"/>
        <v>-212.2170000000001</v>
      </c>
      <c r="J107" s="154">
        <f t="shared" si="71"/>
        <v>92.071908973977244</v>
      </c>
      <c r="K107" s="112">
        <f>K93+K72</f>
        <v>2085.1669999999999</v>
      </c>
      <c r="L107" s="112">
        <f t="shared" si="72"/>
        <v>379.38900000000012</v>
      </c>
      <c r="M107" s="154">
        <f t="shared" si="73"/>
        <v>118.19465778999955</v>
      </c>
      <c r="N107" s="154">
        <f t="shared" si="74"/>
        <v>9.6761357678034585</v>
      </c>
      <c r="O107" s="115">
        <f>O93+O72</f>
        <v>2136.527</v>
      </c>
      <c r="P107" s="109">
        <f t="shared" si="80"/>
        <v>328.029</v>
      </c>
      <c r="Q107" s="110">
        <f>F107/O107*100</f>
        <v>115.35337489299222</v>
      </c>
    </row>
    <row r="108" spans="1:19" s="132" customFormat="1" ht="55.5" customHeight="1" x14ac:dyDescent="0.3">
      <c r="A108" s="134"/>
      <c r="B108" s="126" t="s">
        <v>122</v>
      </c>
      <c r="C108" s="133"/>
      <c r="D108" s="128">
        <f>D97+D102</f>
        <v>7842503.4139999999</v>
      </c>
      <c r="E108" s="172">
        <f>E97+E102</f>
        <v>8829205.5800000001</v>
      </c>
      <c r="F108" s="128">
        <f t="shared" si="78"/>
        <v>766544.19800000009</v>
      </c>
      <c r="G108" s="128">
        <f>G97+G102</f>
        <v>766544.19800000009</v>
      </c>
      <c r="H108" s="128">
        <f>H97+H102</f>
        <v>621456.51899999997</v>
      </c>
      <c r="I108" s="128">
        <f t="shared" si="70"/>
        <v>145087.67900000012</v>
      </c>
      <c r="J108" s="155">
        <f t="shared" si="71"/>
        <v>123.34639263796991</v>
      </c>
      <c r="K108" s="128" t="e">
        <f>K97+K102</f>
        <v>#REF!</v>
      </c>
      <c r="L108" s="128" t="e">
        <f t="shared" si="72"/>
        <v>#REF!</v>
      </c>
      <c r="M108" s="155" t="e">
        <f t="shared" si="73"/>
        <v>#REF!</v>
      </c>
      <c r="N108" s="155">
        <f t="shared" si="74"/>
        <v>8.6819158423084328</v>
      </c>
      <c r="O108" s="128">
        <f>O97+O102</f>
        <v>606430.53100000008</v>
      </c>
      <c r="P108" s="129">
        <f t="shared" si="80"/>
        <v>160113.66700000002</v>
      </c>
      <c r="Q108" s="130">
        <f>F108/O108*100</f>
        <v>126.40263951354389</v>
      </c>
      <c r="R108" s="174">
        <v>557088.33100000012</v>
      </c>
      <c r="S108" s="128">
        <f>R108-O108</f>
        <v>-49342.199999999953</v>
      </c>
    </row>
    <row r="109" spans="1:19" s="14" customFormat="1" ht="133.5" customHeight="1" x14ac:dyDescent="0.4">
      <c r="A109" s="34"/>
      <c r="B109" s="217" t="s">
        <v>152</v>
      </c>
      <c r="C109" s="217"/>
      <c r="D109" s="217"/>
      <c r="E109" s="21"/>
      <c r="F109" s="21" t="s">
        <v>87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84"/>
      <c r="Q109" s="85"/>
    </row>
    <row r="110" spans="1:19" s="7" customFormat="1" ht="18" customHeight="1" x14ac:dyDescent="0.45">
      <c r="A110" s="6"/>
      <c r="B110" s="29" t="s">
        <v>52</v>
      </c>
      <c r="C110" s="18"/>
      <c r="D110" s="18"/>
      <c r="E110" s="18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86"/>
      <c r="Q110" s="87"/>
    </row>
    <row r="111" spans="1:19" s="7" customFormat="1" ht="30.75" hidden="1" x14ac:dyDescent="0.45">
      <c r="A111" s="6"/>
      <c r="B111" s="18"/>
      <c r="C111" s="18"/>
      <c r="D111" s="174">
        <f>7842503.414-D108</f>
        <v>0</v>
      </c>
      <c r="E111" s="174">
        <f>8829205.58-E108</f>
        <v>0</v>
      </c>
      <c r="F111" s="174">
        <f>766544.198-F108</f>
        <v>0</v>
      </c>
      <c r="G111" s="174">
        <f>766544.198-G108</f>
        <v>0</v>
      </c>
      <c r="H111" s="174">
        <f>621456.519-H108</f>
        <v>0</v>
      </c>
      <c r="I111" s="20"/>
      <c r="J111" s="20"/>
      <c r="K111" s="20"/>
      <c r="L111" s="20"/>
      <c r="M111" s="20"/>
      <c r="N111" s="20"/>
      <c r="O111" s="174">
        <f>606430.531-O108</f>
        <v>0</v>
      </c>
      <c r="P111" s="86"/>
      <c r="Q111" s="87"/>
    </row>
    <row r="112" spans="1:19" s="4" customFormat="1" ht="30.75" hidden="1" customHeight="1" x14ac:dyDescent="0.45">
      <c r="A112" s="27"/>
      <c r="B112" s="18"/>
      <c r="C112" s="18"/>
      <c r="D112" s="100">
        <v>7038651.0020000003</v>
      </c>
      <c r="E112" s="100">
        <v>7105458.6289999997</v>
      </c>
      <c r="F112" s="58">
        <v>606430.53099999996</v>
      </c>
      <c r="G112" s="101"/>
      <c r="H112" s="58">
        <v>426665.16200000001</v>
      </c>
      <c r="I112" s="101"/>
      <c r="J112" s="101"/>
      <c r="K112" s="101"/>
      <c r="L112" s="101"/>
      <c r="M112" s="101"/>
      <c r="N112" s="101"/>
      <c r="O112" s="58"/>
      <c r="P112" s="5"/>
    </row>
    <row r="113" spans="1:42" ht="12" hidden="1" customHeight="1" x14ac:dyDescent="0.45">
      <c r="B113" s="29"/>
      <c r="C113" s="20"/>
      <c r="D113" s="20"/>
      <c r="E113" s="20"/>
      <c r="F113" s="52"/>
      <c r="G113" s="20"/>
      <c r="H113" s="52"/>
      <c r="I113" s="20"/>
      <c r="J113" s="20"/>
      <c r="K113" s="20"/>
      <c r="L113" s="20"/>
      <c r="M113" s="20"/>
      <c r="N113" s="20"/>
      <c r="O113" s="52"/>
    </row>
    <row r="114" spans="1:42" s="2" customFormat="1" ht="30.75" hidden="1" customHeight="1" x14ac:dyDescent="0.45">
      <c r="A114" s="28"/>
      <c r="B114" s="18"/>
      <c r="C114" s="18"/>
      <c r="D114" s="18"/>
      <c r="E114" s="18"/>
      <c r="F114" s="52"/>
      <c r="G114" s="20"/>
      <c r="H114" s="52"/>
      <c r="I114" s="20"/>
      <c r="J114" s="20"/>
      <c r="K114" s="20"/>
      <c r="L114" s="20"/>
      <c r="M114" s="20"/>
      <c r="N114" s="20"/>
      <c r="O114" s="52"/>
      <c r="P114" s="143"/>
    </row>
    <row r="115" spans="1:42" s="2" customFormat="1" ht="30.75" hidden="1" customHeight="1" x14ac:dyDescent="0.45">
      <c r="A115" s="28"/>
      <c r="B115" s="18"/>
      <c r="C115" s="18"/>
      <c r="D115" s="18"/>
      <c r="E115" s="18"/>
      <c r="F115" s="52"/>
      <c r="G115" s="20"/>
      <c r="H115" s="52"/>
      <c r="I115" s="20"/>
      <c r="J115" s="20"/>
      <c r="K115" s="20"/>
      <c r="L115" s="20"/>
      <c r="M115" s="20"/>
      <c r="N115" s="20"/>
      <c r="O115" s="52"/>
      <c r="P115" s="143"/>
    </row>
    <row r="116" spans="1:42" s="2" customFormat="1" ht="16.5" hidden="1" customHeight="1" x14ac:dyDescent="0.45">
      <c r="A116" s="28"/>
      <c r="B116" s="29"/>
      <c r="C116" s="20"/>
      <c r="D116" s="20"/>
      <c r="E116" s="20"/>
      <c r="F116" s="52"/>
      <c r="G116" s="20"/>
      <c r="H116" s="52"/>
      <c r="I116" s="20"/>
      <c r="J116" s="20"/>
      <c r="K116" s="20"/>
      <c r="L116" s="20"/>
      <c r="M116" s="20"/>
      <c r="N116" s="20"/>
      <c r="O116" s="52"/>
      <c r="P116" s="143"/>
    </row>
    <row r="117" spans="1:42" ht="18.75" hidden="1" x14ac:dyDescent="0.3">
      <c r="B117" s="27"/>
      <c r="D117" s="100">
        <f>D112-D108</f>
        <v>-803852.41199999955</v>
      </c>
      <c r="E117" s="100">
        <f>E112-E108</f>
        <v>-1723746.9510000004</v>
      </c>
      <c r="F117" s="100">
        <f>F112-F108</f>
        <v>-160113.66700000013</v>
      </c>
      <c r="G117" s="31"/>
      <c r="H117" s="100">
        <f>H112-H108</f>
        <v>-194791.35699999996</v>
      </c>
      <c r="I117" s="31"/>
      <c r="J117" s="31"/>
      <c r="K117" s="31"/>
      <c r="L117" s="31"/>
      <c r="M117" s="31"/>
      <c r="N117" s="31"/>
      <c r="O117" s="100"/>
    </row>
    <row r="118" spans="1:42" ht="18.75" hidden="1" x14ac:dyDescent="0.3">
      <c r="B118" s="27"/>
      <c r="D118" s="58"/>
      <c r="E118" s="58">
        <v>6341594.04</v>
      </c>
      <c r="F118" s="58">
        <v>6497781.0829999996</v>
      </c>
      <c r="O118" s="58"/>
    </row>
    <row r="119" spans="1:42" ht="18.75" hidden="1" x14ac:dyDescent="0.3">
      <c r="B119" s="27"/>
      <c r="D119" s="100"/>
      <c r="E119" s="100">
        <f>E118-E108</f>
        <v>-2487611.54</v>
      </c>
      <c r="F119" s="100">
        <f>F118-F108</f>
        <v>5731236.8849999998</v>
      </c>
      <c r="G119" s="31"/>
      <c r="H119" s="31"/>
      <c r="I119" s="31"/>
      <c r="J119" s="31"/>
      <c r="K119" s="31"/>
      <c r="L119" s="31"/>
      <c r="M119" s="31"/>
      <c r="N119" s="31"/>
      <c r="O119" s="100"/>
    </row>
    <row r="120" spans="1:42" ht="18.75" hidden="1" x14ac:dyDescent="0.3">
      <c r="B120" s="4"/>
      <c r="C120" s="3"/>
      <c r="D120" s="3"/>
      <c r="E120" s="3"/>
      <c r="F120" s="3"/>
      <c r="I120" s="201" t="s">
        <v>49</v>
      </c>
      <c r="J120" s="201"/>
      <c r="K120" s="157">
        <f>E51/12*1</f>
        <v>632476.55633333325</v>
      </c>
      <c r="O120" s="3"/>
    </row>
    <row r="121" spans="1:42" ht="22.5" hidden="1" x14ac:dyDescent="0.3">
      <c r="B121" s="4"/>
      <c r="C121" s="3"/>
      <c r="D121" s="3"/>
      <c r="E121" s="118"/>
      <c r="F121" s="118"/>
      <c r="I121" s="143"/>
      <c r="J121" s="143"/>
      <c r="K121" s="157">
        <f>K120-K51</f>
        <v>0</v>
      </c>
      <c r="O121" s="118"/>
    </row>
    <row r="122" spans="1:42" ht="18.75" hidden="1" x14ac:dyDescent="0.3">
      <c r="B122" s="4"/>
      <c r="C122" s="3"/>
      <c r="D122" s="3"/>
      <c r="E122" s="3"/>
      <c r="I122" s="201" t="s">
        <v>50</v>
      </c>
      <c r="J122" s="201"/>
      <c r="K122" s="158">
        <f>E86/12*1</f>
        <v>15831.395583333333</v>
      </c>
    </row>
    <row r="123" spans="1:42" ht="18.75" hidden="1" x14ac:dyDescent="0.3">
      <c r="B123" s="4"/>
      <c r="C123" s="3"/>
      <c r="D123" s="3"/>
      <c r="E123" s="3"/>
      <c r="I123" s="143"/>
      <c r="J123" s="143"/>
      <c r="K123" s="157">
        <f>K122-K86</f>
        <v>0</v>
      </c>
    </row>
    <row r="124" spans="1:42" ht="18.75" hidden="1" x14ac:dyDescent="0.3">
      <c r="B124" s="120"/>
      <c r="C124" s="3"/>
      <c r="D124" s="3"/>
      <c r="E124" s="3"/>
      <c r="I124" s="201" t="s">
        <v>51</v>
      </c>
      <c r="J124" s="201"/>
      <c r="K124" s="157" t="e">
        <f>K122+K90</f>
        <v>#REF!</v>
      </c>
    </row>
    <row r="125" spans="1:42" ht="18.75" hidden="1" x14ac:dyDescent="0.3">
      <c r="B125" s="4"/>
      <c r="C125" s="3"/>
      <c r="D125" s="3"/>
      <c r="E125" s="3"/>
      <c r="I125" s="143"/>
      <c r="J125" s="143"/>
      <c r="K125" s="157" t="e">
        <f>K124-K95</f>
        <v>#REF!</v>
      </c>
    </row>
    <row r="126" spans="1:42" s="19" customFormat="1" ht="18.75" hidden="1" x14ac:dyDescent="0.3">
      <c r="B126" s="4"/>
      <c r="C126" s="3"/>
      <c r="D126" s="3"/>
      <c r="E126" s="3"/>
      <c r="F126" s="31"/>
      <c r="G126" s="3"/>
      <c r="H126" s="3"/>
      <c r="I126" s="3"/>
      <c r="J126" s="3"/>
      <c r="K126" s="3"/>
      <c r="L126" s="3"/>
      <c r="M126" s="3"/>
      <c r="N126" s="3"/>
      <c r="O126" s="31"/>
      <c r="P126" s="1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s="19" customFormat="1" ht="18.75" hidden="1" x14ac:dyDescent="0.3">
      <c r="B127" s="4"/>
      <c r="C127" s="3"/>
      <c r="D127" s="3"/>
      <c r="E127" s="101"/>
      <c r="F127" s="121"/>
      <c r="G127" s="3"/>
      <c r="H127" s="3"/>
      <c r="I127" s="3"/>
      <c r="J127" s="3"/>
      <c r="K127" s="3"/>
      <c r="L127" s="3"/>
      <c r="M127" s="3"/>
      <c r="N127" s="3"/>
      <c r="O127" s="121"/>
      <c r="P127" s="1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s="19" customFormat="1" ht="18.75" hidden="1" x14ac:dyDescent="0.3">
      <c r="B128" s="4"/>
      <c r="C128" s="3"/>
      <c r="D128" s="122"/>
      <c r="E128" s="3"/>
      <c r="F128" s="31"/>
      <c r="G128" s="3"/>
      <c r="H128" s="3"/>
      <c r="I128" s="3"/>
      <c r="J128" s="3"/>
      <c r="K128" s="3"/>
      <c r="L128" s="3"/>
      <c r="M128" s="3"/>
      <c r="N128" s="3"/>
      <c r="O128" s="31"/>
      <c r="P128" s="1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s="19" customFormat="1" ht="18.75" hidden="1" x14ac:dyDescent="0.3">
      <c r="B129" s="4"/>
      <c r="C129" s="3"/>
      <c r="D129" s="3"/>
      <c r="E129" s="3"/>
      <c r="F129" s="31"/>
      <c r="G129" s="3"/>
      <c r="H129" s="3"/>
      <c r="I129" s="3"/>
      <c r="J129" s="3"/>
      <c r="K129" s="3"/>
      <c r="L129" s="3"/>
      <c r="M129" s="3"/>
      <c r="N129" s="3"/>
      <c r="O129" s="31"/>
      <c r="P129" s="1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s="19" customFormat="1" ht="22.5" hidden="1" x14ac:dyDescent="0.3">
      <c r="B130" s="4"/>
      <c r="C130" s="3"/>
      <c r="D130" s="119"/>
      <c r="E130" s="3"/>
      <c r="F130" s="31"/>
      <c r="G130" s="3"/>
      <c r="H130" s="3"/>
      <c r="I130" s="3"/>
      <c r="J130" s="3"/>
      <c r="K130" s="3"/>
      <c r="L130" s="3"/>
      <c r="M130" s="3"/>
      <c r="N130" s="3"/>
      <c r="O130" s="31"/>
      <c r="P130" s="1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s="19" customFormat="1" ht="18.75" hidden="1" x14ac:dyDescent="0.3">
      <c r="B131" s="4"/>
      <c r="C131" s="3"/>
      <c r="D131" s="3"/>
      <c r="E131" s="3"/>
      <c r="F131" s="121"/>
      <c r="G131" s="3"/>
      <c r="H131" s="3"/>
      <c r="I131" s="3"/>
      <c r="J131" s="3"/>
      <c r="K131" s="3"/>
      <c r="L131" s="3"/>
      <c r="M131" s="3"/>
      <c r="N131" s="3"/>
      <c r="O131" s="121"/>
      <c r="P131" s="1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s="19" customFormat="1" ht="18.75" hidden="1" x14ac:dyDescent="0.3">
      <c r="B132" s="4"/>
      <c r="C132" s="3"/>
      <c r="D132" s="3"/>
      <c r="E132" s="3"/>
      <c r="F132" s="31"/>
      <c r="G132" s="3"/>
      <c r="H132" s="3"/>
      <c r="I132" s="3"/>
      <c r="J132" s="3"/>
      <c r="K132" s="3"/>
      <c r="L132" s="3"/>
      <c r="M132" s="3"/>
      <c r="N132" s="3"/>
      <c r="O132" s="31"/>
      <c r="P132" s="1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s="19" customFormat="1" ht="18.75" hidden="1" x14ac:dyDescent="0.3">
      <c r="B133" s="4"/>
      <c r="C133" s="3"/>
      <c r="D133" s="3"/>
      <c r="E133" s="3"/>
      <c r="F133" s="31"/>
      <c r="G133" s="3"/>
      <c r="H133" s="3"/>
      <c r="I133" s="3"/>
      <c r="J133" s="3"/>
      <c r="K133" s="3"/>
      <c r="L133" s="3"/>
      <c r="M133" s="3"/>
      <c r="N133" s="3"/>
      <c r="O133" s="31"/>
      <c r="P133" s="1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s="19" customFormat="1" ht="23.25" hidden="1" x14ac:dyDescent="0.3">
      <c r="B134" s="27"/>
      <c r="E134" s="174">
        <v>8829205.5800000001</v>
      </c>
      <c r="F134" s="174">
        <v>766544.19799999997</v>
      </c>
      <c r="G134" s="3"/>
      <c r="H134" s="3"/>
      <c r="I134" s="3"/>
      <c r="J134" s="3"/>
      <c r="K134" s="3"/>
      <c r="L134" s="3"/>
      <c r="M134" s="3"/>
      <c r="N134" s="3"/>
      <c r="O134" s="31"/>
      <c r="P134" s="1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s="19" customFormat="1" ht="23.25" hidden="1" x14ac:dyDescent="0.3">
      <c r="B135" s="27"/>
      <c r="F135" s="174"/>
      <c r="G135" s="3"/>
      <c r="H135" s="3"/>
      <c r="I135" s="3"/>
      <c r="J135" s="3"/>
      <c r="K135" s="3"/>
      <c r="L135" s="3"/>
      <c r="M135" s="3"/>
      <c r="N135" s="3"/>
      <c r="O135" s="31"/>
      <c r="P135" s="1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hidden="1" x14ac:dyDescent="0.2"/>
    <row r="137" spans="2:42" hidden="1" x14ac:dyDescent="0.2">
      <c r="H137" s="3">
        <v>621456518.53999996</v>
      </c>
    </row>
    <row r="138" spans="2:42" hidden="1" x14ac:dyDescent="0.2"/>
    <row r="139" spans="2:42" hidden="1" x14ac:dyDescent="0.2"/>
  </sheetData>
  <mergeCells count="28">
    <mergeCell ref="A1:Q1"/>
    <mergeCell ref="A96:Q96"/>
    <mergeCell ref="A75:Q75"/>
    <mergeCell ref="A6:Q6"/>
    <mergeCell ref="B109:D109"/>
    <mergeCell ref="Q3:Q4"/>
    <mergeCell ref="J3:J4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I120:J120"/>
    <mergeCell ref="I122:J122"/>
    <mergeCell ref="I124:J124"/>
    <mergeCell ref="C15:C17"/>
    <mergeCell ref="C23:C25"/>
    <mergeCell ref="A51:C51"/>
    <mergeCell ref="P3:P4"/>
    <mergeCell ref="A3:A4"/>
    <mergeCell ref="B3:B4"/>
    <mergeCell ref="C3:C4"/>
    <mergeCell ref="D3:D4"/>
    <mergeCell ref="E3:E4"/>
  </mergeCells>
  <printOptions horizontalCentered="1"/>
  <pageMargins left="0.39370078740157483" right="0" top="0" bottom="0" header="0.23622047244094491" footer="0.11811023622047245"/>
  <pageSetup paperSize="8" scale="60" fitToHeight="6" orientation="landscape" horizontalDpi="300" verticalDpi="300" r:id="rId1"/>
  <headerFooter alignWithMargins="0"/>
  <rowBreaks count="1" manualBreakCount="1">
    <brk id="74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2026-02-02T07:27:43Z</cp:lastPrinted>
  <dcterms:created xsi:type="dcterms:W3CDTF">1996-10-08T23:32:33Z</dcterms:created>
  <dcterms:modified xsi:type="dcterms:W3CDTF">2026-02-04T13:56:34Z</dcterms:modified>
</cp:coreProperties>
</file>